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Nam 2026\GPMB\DA Nam kênh cổ rồng\phê duyệt phương án bồi thường, HT\"/>
    </mc:Choice>
  </mc:AlternateContent>
  <bookViews>
    <workbookView xWindow="-105" yWindow="-105" windowWidth="23250" windowHeight="12570"/>
  </bookViews>
  <sheets>
    <sheet name="kèm theo QĐPDPABT" sheetId="22" r:id="rId1"/>
    <sheet name="kèm theo TTPDPABT (2)" sheetId="23" r:id="rId2"/>
  </sheets>
  <definedNames>
    <definedName name="_xlnm.Print_Titles" localSheetId="0">'kèm theo QĐPDPABT'!$5:$6</definedName>
    <definedName name="_xlnm.Print_Titles" localSheetId="1">'kèm theo TTPDPABT (2)'!$5:$6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S99" i="23" l="1"/>
  <c r="DO99" i="23"/>
  <c r="DX98" i="23"/>
  <c r="DV98" i="23"/>
  <c r="DT98" i="23"/>
  <c r="DW98" i="23" s="1"/>
  <c r="DR98" i="23"/>
  <c r="DN98" i="23"/>
  <c r="DM98" i="23"/>
  <c r="DL98" i="23"/>
  <c r="DG98" i="23"/>
  <c r="CX98" i="23"/>
  <c r="CW98" i="23"/>
  <c r="CV98" i="23"/>
  <c r="Z98" i="23"/>
  <c r="Y98" i="23"/>
  <c r="X98" i="23"/>
  <c r="W98" i="23"/>
  <c r="DP98" i="23" s="1"/>
  <c r="T98" i="23"/>
  <c r="R98" i="23"/>
  <c r="P98" i="23"/>
  <c r="M98" i="23"/>
  <c r="I98" i="23"/>
  <c r="CZ98" i="23" s="1"/>
  <c r="DX97" i="23"/>
  <c r="DV97" i="23"/>
  <c r="DT97" i="23"/>
  <c r="DR97" i="23"/>
  <c r="DN97" i="23"/>
  <c r="DM97" i="23"/>
  <c r="DW97" i="23" s="1"/>
  <c r="DL97" i="23"/>
  <c r="DG97" i="23"/>
  <c r="CX97" i="23"/>
  <c r="CV97" i="23"/>
  <c r="Y97" i="23"/>
  <c r="X97" i="23"/>
  <c r="T97" i="23"/>
  <c r="R97" i="23"/>
  <c r="M97" i="23"/>
  <c r="I97" i="23"/>
  <c r="CZ97" i="23" s="1"/>
  <c r="DV96" i="23"/>
  <c r="DT96" i="23"/>
  <c r="DR96" i="23"/>
  <c r="DN96" i="23"/>
  <c r="DM96" i="23"/>
  <c r="DW96" i="23" s="1"/>
  <c r="DL96" i="23"/>
  <c r="DG96" i="23"/>
  <c r="CZ96" i="23"/>
  <c r="CX96" i="23"/>
  <c r="DX96" i="23" s="1"/>
  <c r="BC96" i="23"/>
  <c r="BA96" i="23"/>
  <c r="Y96" i="23" s="1"/>
  <c r="Z96" i="23"/>
  <c r="X96" i="23"/>
  <c r="V96" i="23"/>
  <c r="T96" i="23"/>
  <c r="W96" i="23" s="1"/>
  <c r="DP96" i="23" s="1"/>
  <c r="R96" i="23"/>
  <c r="CW96" i="23" s="1"/>
  <c r="P96" i="23"/>
  <c r="CV96" i="23" s="1"/>
  <c r="M96" i="23"/>
  <c r="I96" i="23"/>
  <c r="DX95" i="23"/>
  <c r="DV95" i="23"/>
  <c r="DT95" i="23"/>
  <c r="DW95" i="23" s="1"/>
  <c r="DR95" i="23"/>
  <c r="DN95" i="23"/>
  <c r="DM95" i="23"/>
  <c r="DL95" i="23"/>
  <c r="CX95" i="23"/>
  <c r="CV95" i="23"/>
  <c r="Y95" i="23"/>
  <c r="X95" i="23"/>
  <c r="T95" i="23"/>
  <c r="R95" i="23"/>
  <c r="CW95" i="23" s="1"/>
  <c r="Z95" i="23" s="1"/>
  <c r="M95" i="23"/>
  <c r="I95" i="23"/>
  <c r="CZ95" i="23" s="1"/>
  <c r="DT94" i="23"/>
  <c r="DR94" i="23"/>
  <c r="DL94" i="23"/>
  <c r="DK94" i="23"/>
  <c r="Y94" i="23"/>
  <c r="X94" i="23"/>
  <c r="T94" i="23"/>
  <c r="W94" i="23" s="1"/>
  <c r="R94" i="23"/>
  <c r="CW94" i="23" s="1"/>
  <c r="P94" i="23"/>
  <c r="CV94" i="23" s="1"/>
  <c r="Z94" i="23" s="1"/>
  <c r="M94" i="23"/>
  <c r="DT93" i="23"/>
  <c r="DR93" i="23"/>
  <c r="DN93" i="23"/>
  <c r="DM93" i="23"/>
  <c r="DL93" i="23"/>
  <c r="DK93" i="23"/>
  <c r="CX93" i="23" s="1"/>
  <c r="DG93" i="23"/>
  <c r="CZ93" i="23"/>
  <c r="BC93" i="23"/>
  <c r="Y93" i="23"/>
  <c r="T93" i="23"/>
  <c r="R93" i="23"/>
  <c r="CW93" i="23" s="1"/>
  <c r="P93" i="23"/>
  <c r="CV93" i="23" s="1"/>
  <c r="Z93" i="23" s="1"/>
  <c r="M93" i="23"/>
  <c r="X93" i="23" s="1"/>
  <c r="I93" i="23"/>
  <c r="DV92" i="23"/>
  <c r="DT92" i="23"/>
  <c r="DR92" i="23"/>
  <c r="DN92" i="23"/>
  <c r="DM92" i="23"/>
  <c r="DL92" i="23"/>
  <c r="DB92" i="23"/>
  <c r="CZ92" i="23"/>
  <c r="CX92" i="23"/>
  <c r="AP92" i="23"/>
  <c r="Y92" i="23"/>
  <c r="X92" i="23"/>
  <c r="T92" i="23"/>
  <c r="W92" i="23" s="1"/>
  <c r="DP92" i="23" s="1"/>
  <c r="R92" i="23"/>
  <c r="CW92" i="23" s="1"/>
  <c r="P92" i="23"/>
  <c r="CV92" i="23" s="1"/>
  <c r="Z92" i="23" s="1"/>
  <c r="M92" i="23"/>
  <c r="I92" i="23"/>
  <c r="DX92" i="23" s="1"/>
  <c r="DV91" i="23"/>
  <c r="DT91" i="23"/>
  <c r="DR91" i="23"/>
  <c r="DN91" i="23"/>
  <c r="DM91" i="23"/>
  <c r="DW91" i="23" s="1"/>
  <c r="DL91" i="23"/>
  <c r="CZ91" i="23"/>
  <c r="CX91" i="23"/>
  <c r="CW91" i="23"/>
  <c r="Y91" i="23"/>
  <c r="T91" i="23"/>
  <c r="P91" i="23"/>
  <c r="CV91" i="23" s="1"/>
  <c r="Z91" i="23" s="1"/>
  <c r="M91" i="23"/>
  <c r="X91" i="23" s="1"/>
  <c r="I91" i="23"/>
  <c r="DX91" i="23" s="1"/>
  <c r="DX90" i="23"/>
  <c r="DW90" i="23"/>
  <c r="DV90" i="23"/>
  <c r="DT90" i="23"/>
  <c r="DR90" i="23"/>
  <c r="DN90" i="23"/>
  <c r="DM90" i="23"/>
  <c r="DL90" i="23"/>
  <c r="CX90" i="23"/>
  <c r="CZ90" i="23" s="1"/>
  <c r="Y90" i="23"/>
  <c r="T90" i="23"/>
  <c r="R90" i="23"/>
  <c r="CW90" i="23" s="1"/>
  <c r="P90" i="23"/>
  <c r="CV90" i="23" s="1"/>
  <c r="Z90" i="23" s="1"/>
  <c r="M90" i="23"/>
  <c r="I90" i="23"/>
  <c r="DV89" i="23"/>
  <c r="DT89" i="23"/>
  <c r="DW89" i="23" s="1"/>
  <c r="DR89" i="23"/>
  <c r="DN89" i="23"/>
  <c r="DM89" i="23"/>
  <c r="DL89" i="23"/>
  <c r="CX89" i="23"/>
  <c r="CZ89" i="23" s="1"/>
  <c r="CW89" i="23"/>
  <c r="Z89" i="23" s="1"/>
  <c r="CV89" i="23"/>
  <c r="AP89" i="23"/>
  <c r="Y89" i="23"/>
  <c r="T89" i="23"/>
  <c r="R89" i="23"/>
  <c r="P89" i="23"/>
  <c r="M89" i="23"/>
  <c r="I89" i="23"/>
  <c r="DX89" i="23" s="1"/>
  <c r="DX88" i="23"/>
  <c r="DW88" i="23"/>
  <c r="DV88" i="23"/>
  <c r="DT88" i="23"/>
  <c r="DR88" i="23"/>
  <c r="DN88" i="23"/>
  <c r="DM88" i="23"/>
  <c r="DL88" i="23"/>
  <c r="CX88" i="23"/>
  <c r="CW88" i="23"/>
  <c r="CV88" i="23"/>
  <c r="Z88" i="23"/>
  <c r="Y88" i="23"/>
  <c r="X88" i="23"/>
  <c r="W88" i="23"/>
  <c r="DP88" i="23" s="1"/>
  <c r="T88" i="23"/>
  <c r="R88" i="23"/>
  <c r="P88" i="23"/>
  <c r="M88" i="23"/>
  <c r="I88" i="23"/>
  <c r="DX87" i="23"/>
  <c r="DV87" i="23"/>
  <c r="DU87" i="23"/>
  <c r="DT87" i="23"/>
  <c r="DR87" i="23"/>
  <c r="DW87" i="23" s="1"/>
  <c r="DP87" i="23"/>
  <c r="DN87" i="23"/>
  <c r="DM87" i="23"/>
  <c r="DL87" i="23"/>
  <c r="DK87" i="23"/>
  <c r="CX87" i="23"/>
  <c r="CW87" i="23"/>
  <c r="CV87" i="23"/>
  <c r="BD87" i="23"/>
  <c r="Y87" i="23"/>
  <c r="X87" i="23"/>
  <c r="T87" i="23"/>
  <c r="R87" i="23"/>
  <c r="P87" i="23"/>
  <c r="M87" i="23"/>
  <c r="W87" i="23" s="1"/>
  <c r="I87" i="23"/>
  <c r="DT86" i="23"/>
  <c r="DR86" i="23"/>
  <c r="DK86" i="23"/>
  <c r="CX86" i="23"/>
  <c r="CZ86" i="23" s="1"/>
  <c r="CW86" i="23"/>
  <c r="Z86" i="23" s="1"/>
  <c r="CV86" i="23"/>
  <c r="Y86" i="23"/>
  <c r="X86" i="23"/>
  <c r="T86" i="23"/>
  <c r="R86" i="23"/>
  <c r="P86" i="23"/>
  <c r="M86" i="23"/>
  <c r="W86" i="23" s="1"/>
  <c r="I86" i="23"/>
  <c r="DX86" i="23" s="1"/>
  <c r="DX85" i="23"/>
  <c r="DV85" i="23"/>
  <c r="DU85" i="23"/>
  <c r="DT85" i="23"/>
  <c r="DR85" i="23"/>
  <c r="DK85" i="23"/>
  <c r="CX85" i="23"/>
  <c r="CZ85" i="23" s="1"/>
  <c r="CW85" i="23"/>
  <c r="CV85" i="23"/>
  <c r="Z85" i="23"/>
  <c r="Y85" i="23"/>
  <c r="X85" i="23"/>
  <c r="V85" i="23"/>
  <c r="T85" i="23" s="1"/>
  <c r="R85" i="23"/>
  <c r="P85" i="23"/>
  <c r="M85" i="23"/>
  <c r="I85" i="23"/>
  <c r="DX84" i="23"/>
  <c r="DV84" i="23"/>
  <c r="DU84" i="23"/>
  <c r="DT84" i="23"/>
  <c r="DW84" i="23" s="1"/>
  <c r="DR84" i="23"/>
  <c r="DN84" i="23"/>
  <c r="DM84" i="23"/>
  <c r="DL84" i="23"/>
  <c r="DB84" i="23"/>
  <c r="CZ84" i="23"/>
  <c r="CX84" i="23"/>
  <c r="CW84" i="23"/>
  <c r="Y84" i="23"/>
  <c r="T84" i="23"/>
  <c r="R84" i="23"/>
  <c r="P84" i="23"/>
  <c r="CV84" i="23" s="1"/>
  <c r="Z84" i="23" s="1"/>
  <c r="M84" i="23"/>
  <c r="I84" i="23"/>
  <c r="DT83" i="23"/>
  <c r="DR83" i="23"/>
  <c r="DK83" i="23"/>
  <c r="CX83" i="23"/>
  <c r="DX83" i="23" s="1"/>
  <c r="CW83" i="23"/>
  <c r="CV83" i="23"/>
  <c r="Z83" i="23" s="1"/>
  <c r="Y83" i="23"/>
  <c r="V83" i="23"/>
  <c r="T83" i="23" s="1"/>
  <c r="R83" i="23"/>
  <c r="P83" i="23"/>
  <c r="M83" i="23"/>
  <c r="DX82" i="23"/>
  <c r="DV82" i="23"/>
  <c r="DU82" i="23"/>
  <c r="DT82" i="23"/>
  <c r="DR82" i="23"/>
  <c r="DK82" i="23"/>
  <c r="CZ82" i="23"/>
  <c r="CX82" i="23"/>
  <c r="AU82" i="23"/>
  <c r="Y82" i="23" s="1"/>
  <c r="V82" i="23"/>
  <c r="T82" i="23"/>
  <c r="R82" i="23"/>
  <c r="CW82" i="23" s="1"/>
  <c r="P82" i="23"/>
  <c r="CV82" i="23" s="1"/>
  <c r="M82" i="23"/>
  <c r="DT81" i="23"/>
  <c r="DR81" i="23"/>
  <c r="DK81" i="23"/>
  <c r="DM81" i="23" s="1"/>
  <c r="CX81" i="23"/>
  <c r="DX81" i="23" s="1"/>
  <c r="Y81" i="23"/>
  <c r="T81" i="23"/>
  <c r="R81" i="23"/>
  <c r="CW81" i="23" s="1"/>
  <c r="P81" i="23"/>
  <c r="CV81" i="23" s="1"/>
  <c r="Z81" i="23" s="1"/>
  <c r="M81" i="23"/>
  <c r="DX80" i="23"/>
  <c r="DV80" i="23"/>
  <c r="DU80" i="23"/>
  <c r="DT80" i="23"/>
  <c r="DR80" i="23"/>
  <c r="DL80" i="23"/>
  <c r="DK80" i="23"/>
  <c r="CX80" i="23"/>
  <c r="CZ80" i="23" s="1"/>
  <c r="CW80" i="23"/>
  <c r="CV80" i="23"/>
  <c r="Z80" i="23"/>
  <c r="Y80" i="23"/>
  <c r="T80" i="23"/>
  <c r="R80" i="23"/>
  <c r="P80" i="23"/>
  <c r="M80" i="23"/>
  <c r="DT79" i="23"/>
  <c r="DR79" i="23"/>
  <c r="DK79" i="23"/>
  <c r="DV79" i="23" s="1"/>
  <c r="CX79" i="23"/>
  <c r="DX79" i="23" s="1"/>
  <c r="CW79" i="23"/>
  <c r="Z79" i="23" s="1"/>
  <c r="CV79" i="23"/>
  <c r="Y79" i="23"/>
  <c r="T79" i="23"/>
  <c r="R79" i="23"/>
  <c r="P79" i="23"/>
  <c r="M79" i="23"/>
  <c r="W79" i="23" s="1"/>
  <c r="DX78" i="23"/>
  <c r="DV78" i="23"/>
  <c r="DT78" i="23"/>
  <c r="DW78" i="23" s="1"/>
  <c r="DR78" i="23"/>
  <c r="DN78" i="23"/>
  <c r="DM78" i="23"/>
  <c r="DL78" i="23"/>
  <c r="CZ78" i="23"/>
  <c r="CX78" i="23"/>
  <c r="CW78" i="23"/>
  <c r="CV78" i="23"/>
  <c r="BC78" i="23"/>
  <c r="Z78" i="23"/>
  <c r="Y78" i="23"/>
  <c r="X78" i="23"/>
  <c r="T78" i="23"/>
  <c r="W78" i="23" s="1"/>
  <c r="DP78" i="23" s="1"/>
  <c r="R78" i="23"/>
  <c r="P78" i="23"/>
  <c r="M78" i="23"/>
  <c r="DV77" i="23"/>
  <c r="DU77" i="23"/>
  <c r="DT77" i="23"/>
  <c r="DR77" i="23"/>
  <c r="DW77" i="23" s="1"/>
  <c r="DN77" i="23"/>
  <c r="DM77" i="23"/>
  <c r="DL77" i="23"/>
  <c r="CX77" i="23"/>
  <c r="Y77" i="23"/>
  <c r="X77" i="23"/>
  <c r="T77" i="23"/>
  <c r="R77" i="23"/>
  <c r="CW77" i="23" s="1"/>
  <c r="P77" i="23"/>
  <c r="W77" i="23" s="1"/>
  <c r="DP77" i="23" s="1"/>
  <c r="M77" i="23"/>
  <c r="I77" i="23"/>
  <c r="CZ77" i="23" s="1"/>
  <c r="DV76" i="23"/>
  <c r="DT76" i="23"/>
  <c r="DR76" i="23"/>
  <c r="DN76" i="23"/>
  <c r="DM76" i="23"/>
  <c r="DL76" i="23"/>
  <c r="CZ76" i="23"/>
  <c r="CX76" i="23"/>
  <c r="DX76" i="23" s="1"/>
  <c r="BC76" i="23"/>
  <c r="Y76" i="23"/>
  <c r="T76" i="23"/>
  <c r="R76" i="23"/>
  <c r="CW76" i="23" s="1"/>
  <c r="P76" i="23"/>
  <c r="CV76" i="23" s="1"/>
  <c r="Z76" i="23" s="1"/>
  <c r="M76" i="23"/>
  <c r="X76" i="23" s="1"/>
  <c r="DV75" i="23"/>
  <c r="DT75" i="23"/>
  <c r="DR75" i="23"/>
  <c r="DN75" i="23"/>
  <c r="DM75" i="23"/>
  <c r="DL75" i="23"/>
  <c r="CX75" i="23"/>
  <c r="DX75" i="23" s="1"/>
  <c r="CV75" i="23"/>
  <c r="Y75" i="23"/>
  <c r="T75" i="23"/>
  <c r="R75" i="23"/>
  <c r="CW75" i="23" s="1"/>
  <c r="M75" i="23"/>
  <c r="X75" i="23" s="1"/>
  <c r="DW74" i="23"/>
  <c r="DV74" i="23"/>
  <c r="DT74" i="23"/>
  <c r="DR74" i="23"/>
  <c r="DN74" i="23"/>
  <c r="DM74" i="23"/>
  <c r="DL74" i="23"/>
  <c r="CX74" i="23"/>
  <c r="DX74" i="23" s="1"/>
  <c r="CW74" i="23"/>
  <c r="CV74" i="23"/>
  <c r="Z74" i="23" s="1"/>
  <c r="Y74" i="23"/>
  <c r="T74" i="23"/>
  <c r="R74" i="23"/>
  <c r="P74" i="23"/>
  <c r="M74" i="23"/>
  <c r="W74" i="23" s="1"/>
  <c r="DP74" i="23" s="1"/>
  <c r="DX73" i="23"/>
  <c r="DV73" i="23"/>
  <c r="DT73" i="23"/>
  <c r="DR73" i="23"/>
  <c r="DW73" i="23" s="1"/>
  <c r="DN73" i="23"/>
  <c r="DM73" i="23"/>
  <c r="DL73" i="23"/>
  <c r="CZ73" i="23"/>
  <c r="CX73" i="23"/>
  <c r="CW73" i="23"/>
  <c r="CV73" i="23"/>
  <c r="Z73" i="23"/>
  <c r="Y73" i="23"/>
  <c r="X73" i="23"/>
  <c r="W73" i="23"/>
  <c r="DP73" i="23" s="1"/>
  <c r="T73" i="23"/>
  <c r="R73" i="23"/>
  <c r="P73" i="23"/>
  <c r="M73" i="23"/>
  <c r="DV72" i="23"/>
  <c r="DT72" i="23"/>
  <c r="DR72" i="23"/>
  <c r="DN72" i="23"/>
  <c r="DM72" i="23"/>
  <c r="DW72" i="23" s="1"/>
  <c r="DL72" i="23"/>
  <c r="CZ72" i="23"/>
  <c r="CX72" i="23"/>
  <c r="DX72" i="23" s="1"/>
  <c r="Y72" i="23"/>
  <c r="T72" i="23"/>
  <c r="R72" i="23"/>
  <c r="CW72" i="23" s="1"/>
  <c r="P72" i="23"/>
  <c r="CV72" i="23" s="1"/>
  <c r="Z72" i="23" s="1"/>
  <c r="M72" i="23"/>
  <c r="X72" i="23" s="1"/>
  <c r="DX71" i="23"/>
  <c r="DV71" i="23"/>
  <c r="DT71" i="23"/>
  <c r="DR71" i="23"/>
  <c r="DN71" i="23"/>
  <c r="DM71" i="23"/>
  <c r="DL71" i="23"/>
  <c r="CX71" i="23"/>
  <c r="CZ71" i="23" s="1"/>
  <c r="Y71" i="23"/>
  <c r="T71" i="23"/>
  <c r="R71" i="23"/>
  <c r="CW71" i="23" s="1"/>
  <c r="P71" i="23"/>
  <c r="CV71" i="23" s="1"/>
  <c r="M71" i="23"/>
  <c r="DV70" i="23"/>
  <c r="DU70" i="23"/>
  <c r="DT70" i="23"/>
  <c r="DR70" i="23"/>
  <c r="DN70" i="23"/>
  <c r="DM70" i="23"/>
  <c r="DW70" i="23" s="1"/>
  <c r="DL70" i="23"/>
  <c r="CX70" i="23"/>
  <c r="CZ70" i="23" s="1"/>
  <c r="Y70" i="23"/>
  <c r="V70" i="23"/>
  <c r="T70" i="23" s="1"/>
  <c r="R70" i="23"/>
  <c r="CW70" i="23" s="1"/>
  <c r="P70" i="23"/>
  <c r="CV70" i="23" s="1"/>
  <c r="Z70" i="23" s="1"/>
  <c r="M70" i="23"/>
  <c r="I70" i="23"/>
  <c r="DX70" i="23" s="1"/>
  <c r="DX69" i="23"/>
  <c r="DV69" i="23"/>
  <c r="DW69" i="23" s="1"/>
  <c r="DU69" i="23"/>
  <c r="DT69" i="23"/>
  <c r="DR69" i="23"/>
  <c r="DN69" i="23"/>
  <c r="DM69" i="23"/>
  <c r="DL69" i="23"/>
  <c r="CZ69" i="23"/>
  <c r="CX69" i="23"/>
  <c r="CW69" i="23"/>
  <c r="CV69" i="23"/>
  <c r="Z69" i="23"/>
  <c r="Y69" i="23"/>
  <c r="T69" i="23"/>
  <c r="R69" i="23"/>
  <c r="P69" i="23"/>
  <c r="M69" i="23"/>
  <c r="I69" i="23"/>
  <c r="DX68" i="23"/>
  <c r="DV68" i="23"/>
  <c r="DU68" i="23"/>
  <c r="DT68" i="23"/>
  <c r="DW68" i="23" s="1"/>
  <c r="DR68" i="23"/>
  <c r="DN68" i="23"/>
  <c r="DM68" i="23"/>
  <c r="DL68" i="23"/>
  <c r="CX68" i="23"/>
  <c r="CW68" i="23"/>
  <c r="CV68" i="23"/>
  <c r="Z68" i="23"/>
  <c r="Y68" i="23"/>
  <c r="X68" i="23"/>
  <c r="T68" i="23"/>
  <c r="R68" i="23"/>
  <c r="P68" i="23"/>
  <c r="M68" i="23"/>
  <c r="W68" i="23" s="1"/>
  <c r="DP68" i="23" s="1"/>
  <c r="I68" i="23"/>
  <c r="CZ68" i="23" s="1"/>
  <c r="DV67" i="23"/>
  <c r="DU67" i="23"/>
  <c r="DT67" i="23"/>
  <c r="DR67" i="23"/>
  <c r="DW67" i="23" s="1"/>
  <c r="DN67" i="23"/>
  <c r="DM67" i="23"/>
  <c r="DL67" i="23"/>
  <c r="CX67" i="23"/>
  <c r="CW67" i="23"/>
  <c r="CV67" i="23"/>
  <c r="Z67" i="23" s="1"/>
  <c r="Y67" i="23"/>
  <c r="X67" i="23"/>
  <c r="W67" i="23"/>
  <c r="DP67" i="23" s="1"/>
  <c r="T67" i="23"/>
  <c r="R67" i="23"/>
  <c r="P67" i="23"/>
  <c r="M67" i="23"/>
  <c r="I67" i="23"/>
  <c r="CZ67" i="23" s="1"/>
  <c r="DV66" i="23"/>
  <c r="DU66" i="23"/>
  <c r="DT66" i="23"/>
  <c r="DR66" i="23"/>
  <c r="DW66" i="23" s="1"/>
  <c r="DN66" i="23"/>
  <c r="DM66" i="23"/>
  <c r="DL66" i="23"/>
  <c r="CX66" i="23"/>
  <c r="DX66" i="23" s="1"/>
  <c r="CW66" i="23"/>
  <c r="Z66" i="23" s="1"/>
  <c r="CV66" i="23"/>
  <c r="Y66" i="23"/>
  <c r="X66" i="23"/>
  <c r="T66" i="23"/>
  <c r="W66" i="23" s="1"/>
  <c r="DP66" i="23" s="1"/>
  <c r="R66" i="23"/>
  <c r="P66" i="23"/>
  <c r="M66" i="23"/>
  <c r="I66" i="23"/>
  <c r="DX65" i="23"/>
  <c r="DW65" i="23"/>
  <c r="DV65" i="23"/>
  <c r="DT65" i="23"/>
  <c r="DR65" i="23"/>
  <c r="DN65" i="23"/>
  <c r="DM65" i="23"/>
  <c r="DL65" i="23"/>
  <c r="CZ65" i="23"/>
  <c r="CX65" i="23"/>
  <c r="CV65" i="23"/>
  <c r="Z65" i="23"/>
  <c r="Y65" i="23"/>
  <c r="X65" i="23"/>
  <c r="T65" i="23"/>
  <c r="R65" i="23"/>
  <c r="CW65" i="23" s="1"/>
  <c r="P65" i="23"/>
  <c r="W65" i="23" s="1"/>
  <c r="DP65" i="23" s="1"/>
  <c r="M65" i="23"/>
  <c r="DV64" i="23"/>
  <c r="DT64" i="23"/>
  <c r="DR64" i="23"/>
  <c r="DN64" i="23"/>
  <c r="DM64" i="23"/>
  <c r="DW64" i="23" s="1"/>
  <c r="DL64" i="23"/>
  <c r="CZ64" i="23"/>
  <c r="CX64" i="23"/>
  <c r="DX64" i="23" s="1"/>
  <c r="Y64" i="23"/>
  <c r="T64" i="23"/>
  <c r="R64" i="23"/>
  <c r="CW64" i="23" s="1"/>
  <c r="P64" i="23"/>
  <c r="CV64" i="23" s="1"/>
  <c r="Z64" i="23" s="1"/>
  <c r="M64" i="23"/>
  <c r="W64" i="23" s="1"/>
  <c r="DP64" i="23" s="1"/>
  <c r="DX63" i="23"/>
  <c r="DW63" i="23"/>
  <c r="DV63" i="23"/>
  <c r="DU63" i="23"/>
  <c r="DT63" i="23"/>
  <c r="DR63" i="23"/>
  <c r="DN63" i="23"/>
  <c r="DM63" i="23"/>
  <c r="DL63" i="23"/>
  <c r="CX63" i="23"/>
  <c r="CZ63" i="23" s="1"/>
  <c r="CW63" i="23"/>
  <c r="CV63" i="23"/>
  <c r="Z63" i="23" s="1"/>
  <c r="Y63" i="23"/>
  <c r="T63" i="23"/>
  <c r="R63" i="23"/>
  <c r="P63" i="23"/>
  <c r="M63" i="23"/>
  <c r="I63" i="23"/>
  <c r="DX62" i="23"/>
  <c r="DV62" i="23"/>
  <c r="DW62" i="23" s="1"/>
  <c r="DU62" i="23"/>
  <c r="DT62" i="23"/>
  <c r="DR62" i="23"/>
  <c r="DN62" i="23"/>
  <c r="DM62" i="23"/>
  <c r="DL62" i="23"/>
  <c r="CX62" i="23"/>
  <c r="AO62" i="23"/>
  <c r="V62" i="23"/>
  <c r="T62" i="23"/>
  <c r="R62" i="23"/>
  <c r="CW62" i="23" s="1"/>
  <c r="P62" i="23"/>
  <c r="CV62" i="23" s="1"/>
  <c r="M62" i="23"/>
  <c r="I62" i="23"/>
  <c r="CZ62" i="23" s="1"/>
  <c r="DV61" i="23"/>
  <c r="DT61" i="23"/>
  <c r="DR61" i="23"/>
  <c r="DN61" i="23"/>
  <c r="DM61" i="23"/>
  <c r="DW61" i="23" s="1"/>
  <c r="DL61" i="23"/>
  <c r="CX61" i="23"/>
  <c r="CZ61" i="23" s="1"/>
  <c r="CV61" i="23"/>
  <c r="AU61" i="23"/>
  <c r="T61" i="23"/>
  <c r="R61" i="23"/>
  <c r="CW61" i="23" s="1"/>
  <c r="M61" i="23"/>
  <c r="DX60" i="23"/>
  <c r="DV60" i="23"/>
  <c r="DT60" i="23"/>
  <c r="DR60" i="23"/>
  <c r="DW60" i="23" s="1"/>
  <c r="DN60" i="23"/>
  <c r="DM60" i="23"/>
  <c r="DL60" i="23"/>
  <c r="CZ60" i="23"/>
  <c r="CX60" i="23"/>
  <c r="CW60" i="23"/>
  <c r="CV60" i="23"/>
  <c r="BD60" i="23"/>
  <c r="Z60" i="23" s="1"/>
  <c r="Y60" i="23"/>
  <c r="X60" i="23"/>
  <c r="T60" i="23"/>
  <c r="R60" i="23"/>
  <c r="P60" i="23"/>
  <c r="M60" i="23"/>
  <c r="W60" i="23" s="1"/>
  <c r="DP60" i="23" s="1"/>
  <c r="DX59" i="23"/>
  <c r="DV59" i="23"/>
  <c r="DT59" i="23"/>
  <c r="DR59" i="23"/>
  <c r="DN59" i="23"/>
  <c r="DW59" i="23" s="1"/>
  <c r="DM59" i="23"/>
  <c r="DL59" i="23"/>
  <c r="CZ59" i="23"/>
  <c r="CX59" i="23"/>
  <c r="CW59" i="23"/>
  <c r="CV59" i="23"/>
  <c r="AS59" i="23"/>
  <c r="Z59" i="23"/>
  <c r="Y59" i="23"/>
  <c r="X59" i="23"/>
  <c r="T59" i="23"/>
  <c r="W59" i="23" s="1"/>
  <c r="DP59" i="23" s="1"/>
  <c r="R59" i="23"/>
  <c r="P59" i="23"/>
  <c r="M59" i="23"/>
  <c r="DV58" i="23"/>
  <c r="DU58" i="23"/>
  <c r="DT58" i="23"/>
  <c r="DR58" i="23"/>
  <c r="DN58" i="23"/>
  <c r="DM58" i="23"/>
  <c r="DW58" i="23" s="1"/>
  <c r="DL58" i="23"/>
  <c r="DK58" i="23"/>
  <c r="DB58" i="23"/>
  <c r="CX58" i="23"/>
  <c r="CW58" i="23"/>
  <c r="CV58" i="23"/>
  <c r="AO58" i="23"/>
  <c r="Z58" i="23" s="1"/>
  <c r="Y58" i="23"/>
  <c r="V58" i="23"/>
  <c r="T58" i="23" s="1"/>
  <c r="R58" i="23"/>
  <c r="P58" i="23"/>
  <c r="M58" i="23"/>
  <c r="W58" i="23" s="1"/>
  <c r="DP58" i="23" s="1"/>
  <c r="I58" i="23"/>
  <c r="DV57" i="23"/>
  <c r="DT57" i="23"/>
  <c r="DR57" i="23"/>
  <c r="DW57" i="23" s="1"/>
  <c r="DN57" i="23"/>
  <c r="DM57" i="23"/>
  <c r="DL57" i="23"/>
  <c r="CX57" i="23"/>
  <c r="CZ57" i="23" s="1"/>
  <c r="CW57" i="23"/>
  <c r="CV57" i="23"/>
  <c r="Z57" i="23" s="1"/>
  <c r="Y57" i="23"/>
  <c r="X57" i="23"/>
  <c r="V57" i="23"/>
  <c r="T57" i="23" s="1"/>
  <c r="W57" i="23" s="1"/>
  <c r="DP57" i="23" s="1"/>
  <c r="R57" i="23"/>
  <c r="P57" i="23"/>
  <c r="M57" i="23"/>
  <c r="DX56" i="23"/>
  <c r="DV56" i="23"/>
  <c r="DT56" i="23"/>
  <c r="DW56" i="23" s="1"/>
  <c r="DR56" i="23"/>
  <c r="DN56" i="23"/>
  <c r="DM56" i="23"/>
  <c r="DL56" i="23"/>
  <c r="CZ56" i="23"/>
  <c r="CX56" i="23"/>
  <c r="CV56" i="23"/>
  <c r="BB56" i="23"/>
  <c r="Z56" i="23"/>
  <c r="Y56" i="23"/>
  <c r="X56" i="23"/>
  <c r="T56" i="23"/>
  <c r="R56" i="23"/>
  <c r="CW56" i="23" s="1"/>
  <c r="P56" i="23"/>
  <c r="M56" i="23"/>
  <c r="DV55" i="23"/>
  <c r="DU55" i="23"/>
  <c r="DT55" i="23"/>
  <c r="DR55" i="23"/>
  <c r="DN55" i="23"/>
  <c r="DM55" i="23"/>
  <c r="DW55" i="23" s="1"/>
  <c r="DL55" i="23"/>
  <c r="CX55" i="23"/>
  <c r="Y55" i="23"/>
  <c r="T55" i="23"/>
  <c r="R55" i="23"/>
  <c r="CW55" i="23" s="1"/>
  <c r="P55" i="23"/>
  <c r="CV55" i="23" s="1"/>
  <c r="Z55" i="23" s="1"/>
  <c r="M55" i="23"/>
  <c r="W55" i="23" s="1"/>
  <c r="DP55" i="23" s="1"/>
  <c r="I55" i="23"/>
  <c r="CZ55" i="23" s="1"/>
  <c r="DV54" i="23"/>
  <c r="DT54" i="23"/>
  <c r="DR54" i="23"/>
  <c r="DN54" i="23"/>
  <c r="DM54" i="23"/>
  <c r="DW54" i="23" s="1"/>
  <c r="DL54" i="23"/>
  <c r="CX54" i="23"/>
  <c r="DX54" i="23" s="1"/>
  <c r="BC54" i="23"/>
  <c r="Z54" i="23" s="1"/>
  <c r="Y54" i="23"/>
  <c r="X54" i="23"/>
  <c r="W54" i="23"/>
  <c r="DP54" i="23" s="1"/>
  <c r="V54" i="23"/>
  <c r="T54" i="23"/>
  <c r="R54" i="23"/>
  <c r="CW54" i="23" s="1"/>
  <c r="P54" i="23"/>
  <c r="CV54" i="23" s="1"/>
  <c r="M54" i="23"/>
  <c r="DV53" i="23"/>
  <c r="DT53" i="23"/>
  <c r="DR53" i="23"/>
  <c r="DN53" i="23"/>
  <c r="DM53" i="23"/>
  <c r="DW53" i="23" s="1"/>
  <c r="DL53" i="23"/>
  <c r="CX53" i="23"/>
  <c r="DX53" i="23" s="1"/>
  <c r="CV53" i="23"/>
  <c r="Y53" i="23"/>
  <c r="T53" i="23"/>
  <c r="R53" i="23"/>
  <c r="CW53" i="23" s="1"/>
  <c r="M53" i="23"/>
  <c r="X53" i="23" s="1"/>
  <c r="DX52" i="23"/>
  <c r="DV52" i="23"/>
  <c r="DW52" i="23" s="1"/>
  <c r="DU52" i="23"/>
  <c r="DT52" i="23"/>
  <c r="DR52" i="23"/>
  <c r="DN52" i="23"/>
  <c r="DM52" i="23"/>
  <c r="DL52" i="23"/>
  <c r="CX52" i="23"/>
  <c r="CZ52" i="23" s="1"/>
  <c r="CW52" i="23"/>
  <c r="CV52" i="23"/>
  <c r="Z52" i="23"/>
  <c r="Y52" i="23"/>
  <c r="V52" i="23"/>
  <c r="T52" i="23" s="1"/>
  <c r="R52" i="23"/>
  <c r="P52" i="23"/>
  <c r="M52" i="23"/>
  <c r="I52" i="23"/>
  <c r="DX51" i="23"/>
  <c r="DV51" i="23"/>
  <c r="DT51" i="23"/>
  <c r="DW51" i="23" s="1"/>
  <c r="DR51" i="23"/>
  <c r="DN51" i="23"/>
  <c r="DM51" i="23"/>
  <c r="DL51" i="23"/>
  <c r="CZ51" i="23"/>
  <c r="CX51" i="23"/>
  <c r="CW51" i="23"/>
  <c r="BD51" i="23"/>
  <c r="Y51" i="23"/>
  <c r="T51" i="23"/>
  <c r="R51" i="23"/>
  <c r="P51" i="23"/>
  <c r="CV51" i="23" s="1"/>
  <c r="Z51" i="23" s="1"/>
  <c r="M51" i="23"/>
  <c r="DV50" i="23"/>
  <c r="DU50" i="23"/>
  <c r="DT50" i="23"/>
  <c r="DR50" i="23"/>
  <c r="DW50" i="23" s="1"/>
  <c r="DN50" i="23"/>
  <c r="DM50" i="23"/>
  <c r="DL50" i="23"/>
  <c r="CX50" i="23"/>
  <c r="CW50" i="23"/>
  <c r="Z50" i="23" s="1"/>
  <c r="CV50" i="23"/>
  <c r="Y50" i="23"/>
  <c r="X50" i="23"/>
  <c r="W50" i="23"/>
  <c r="DP50" i="23" s="1"/>
  <c r="T50" i="23"/>
  <c r="R50" i="23"/>
  <c r="P50" i="23"/>
  <c r="M50" i="23"/>
  <c r="I50" i="23"/>
  <c r="DX50" i="23" s="1"/>
  <c r="DX49" i="23"/>
  <c r="DW49" i="23"/>
  <c r="DV49" i="23"/>
  <c r="DT49" i="23"/>
  <c r="DR49" i="23"/>
  <c r="DN49" i="23"/>
  <c r="DM49" i="23"/>
  <c r="DL49" i="23"/>
  <c r="CZ49" i="23"/>
  <c r="CX49" i="23"/>
  <c r="CW49" i="23"/>
  <c r="CV49" i="23"/>
  <c r="Z49" i="23"/>
  <c r="Y49" i="23"/>
  <c r="X49" i="23"/>
  <c r="T49" i="23"/>
  <c r="R49" i="23"/>
  <c r="W49" i="23" s="1"/>
  <c r="DP49" i="23" s="1"/>
  <c r="P49" i="23"/>
  <c r="M49" i="23"/>
  <c r="DV48" i="23"/>
  <c r="DT48" i="23"/>
  <c r="DR48" i="23"/>
  <c r="DN48" i="23"/>
  <c r="DM48" i="23"/>
  <c r="DL48" i="23"/>
  <c r="CZ48" i="23"/>
  <c r="CX48" i="23"/>
  <c r="DX48" i="23" s="1"/>
  <c r="Y48" i="23"/>
  <c r="T48" i="23"/>
  <c r="R48" i="23"/>
  <c r="CW48" i="23" s="1"/>
  <c r="P48" i="23"/>
  <c r="CV48" i="23" s="1"/>
  <c r="Z48" i="23" s="1"/>
  <c r="M48" i="23"/>
  <c r="X48" i="23" s="1"/>
  <c r="DX47" i="23"/>
  <c r="DV47" i="23"/>
  <c r="DT47" i="23"/>
  <c r="DR47" i="23"/>
  <c r="DN47" i="23"/>
  <c r="DM47" i="23"/>
  <c r="DW47" i="23" s="1"/>
  <c r="DL47" i="23"/>
  <c r="CX47" i="23"/>
  <c r="CZ47" i="23" s="1"/>
  <c r="CW47" i="23"/>
  <c r="CV47" i="23"/>
  <c r="BD47" i="23"/>
  <c r="Z47" i="23" s="1"/>
  <c r="BB47" i="23"/>
  <c r="Y47" i="23" s="1"/>
  <c r="T47" i="23"/>
  <c r="R47" i="23"/>
  <c r="P47" i="23"/>
  <c r="M47" i="23"/>
  <c r="X47" i="23" s="1"/>
  <c r="DX46" i="23"/>
  <c r="DW46" i="23"/>
  <c r="DV46" i="23"/>
  <c r="DT46" i="23"/>
  <c r="DR46" i="23"/>
  <c r="DN46" i="23"/>
  <c r="DM46" i="23"/>
  <c r="DL46" i="23"/>
  <c r="CX46" i="23"/>
  <c r="CZ46" i="23" s="1"/>
  <c r="Y46" i="23"/>
  <c r="T46" i="23"/>
  <c r="R46" i="23"/>
  <c r="CW46" i="23" s="1"/>
  <c r="P46" i="23"/>
  <c r="CV46" i="23" s="1"/>
  <c r="Z46" i="23" s="1"/>
  <c r="M46" i="23"/>
  <c r="DV45" i="23"/>
  <c r="DT45" i="23"/>
  <c r="DR45" i="23"/>
  <c r="DW45" i="23" s="1"/>
  <c r="DN45" i="23"/>
  <c r="DM45" i="23"/>
  <c r="DL45" i="23"/>
  <c r="CX45" i="23"/>
  <c r="DX45" i="23" s="1"/>
  <c r="CW45" i="23"/>
  <c r="Z45" i="23" s="1"/>
  <c r="CV45" i="23"/>
  <c r="Y45" i="23"/>
  <c r="X45" i="23"/>
  <c r="W45" i="23"/>
  <c r="DP45" i="23" s="1"/>
  <c r="T45" i="23"/>
  <c r="R45" i="23"/>
  <c r="P45" i="23"/>
  <c r="M45" i="23"/>
  <c r="DX44" i="23"/>
  <c r="DV44" i="23"/>
  <c r="DW44" i="23" s="1"/>
  <c r="DT44" i="23"/>
  <c r="DR44" i="23"/>
  <c r="DN44" i="23"/>
  <c r="DM44" i="23"/>
  <c r="DL44" i="23"/>
  <c r="CX44" i="23"/>
  <c r="CZ44" i="23" s="1"/>
  <c r="CV44" i="23"/>
  <c r="Z44" i="23"/>
  <c r="Y44" i="23"/>
  <c r="X44" i="23"/>
  <c r="W44" i="23"/>
  <c r="DP44" i="23" s="1"/>
  <c r="T44" i="23"/>
  <c r="R44" i="23"/>
  <c r="CW44" i="23" s="1"/>
  <c r="P44" i="23"/>
  <c r="M44" i="23"/>
  <c r="DV43" i="23"/>
  <c r="DT43" i="23"/>
  <c r="DR43" i="23"/>
  <c r="DN43" i="23"/>
  <c r="DM43" i="23"/>
  <c r="DW43" i="23" s="1"/>
  <c r="DL43" i="23"/>
  <c r="CZ43" i="23"/>
  <c r="CX43" i="23"/>
  <c r="DX43" i="23" s="1"/>
  <c r="Y43" i="23"/>
  <c r="T43" i="23"/>
  <c r="R43" i="23"/>
  <c r="CW43" i="23" s="1"/>
  <c r="P43" i="23"/>
  <c r="CV43" i="23" s="1"/>
  <c r="Z43" i="23" s="1"/>
  <c r="M43" i="23"/>
  <c r="X43" i="23" s="1"/>
  <c r="DX42" i="23"/>
  <c r="DW42" i="23"/>
  <c r="DV42" i="23"/>
  <c r="DU42" i="23"/>
  <c r="DT42" i="23"/>
  <c r="DR42" i="23"/>
  <c r="DN42" i="23"/>
  <c r="DM42" i="23"/>
  <c r="DL42" i="23"/>
  <c r="CX42" i="23"/>
  <c r="CZ42" i="23" s="1"/>
  <c r="CW42" i="23"/>
  <c r="CV42" i="23"/>
  <c r="Z42" i="23" s="1"/>
  <c r="Y42" i="23"/>
  <c r="V42" i="23"/>
  <c r="T42" i="23" s="1"/>
  <c r="R42" i="23"/>
  <c r="P42" i="23"/>
  <c r="M42" i="23"/>
  <c r="I42" i="23"/>
  <c r="DX41" i="23"/>
  <c r="DV41" i="23"/>
  <c r="DT41" i="23"/>
  <c r="DR41" i="23"/>
  <c r="DN41" i="23"/>
  <c r="DM41" i="23"/>
  <c r="DW41" i="23" s="1"/>
  <c r="DL41" i="23"/>
  <c r="CZ41" i="23"/>
  <c r="CX41" i="23"/>
  <c r="Y41" i="23"/>
  <c r="T41" i="23"/>
  <c r="R41" i="23"/>
  <c r="CW41" i="23" s="1"/>
  <c r="P41" i="23"/>
  <c r="CV41" i="23" s="1"/>
  <c r="Z41" i="23" s="1"/>
  <c r="M41" i="23"/>
  <c r="DX40" i="23"/>
  <c r="DV40" i="23"/>
  <c r="DT40" i="23"/>
  <c r="DR40" i="23"/>
  <c r="DW40" i="23" s="1"/>
  <c r="DN40" i="23"/>
  <c r="DM40" i="23"/>
  <c r="DL40" i="23"/>
  <c r="CX40" i="23"/>
  <c r="CZ40" i="23" s="1"/>
  <c r="CW40" i="23"/>
  <c r="CV40" i="23"/>
  <c r="Z40" i="23"/>
  <c r="Y40" i="23"/>
  <c r="X40" i="23"/>
  <c r="W40" i="23"/>
  <c r="DP40" i="23" s="1"/>
  <c r="T40" i="23"/>
  <c r="R40" i="23"/>
  <c r="P40" i="23"/>
  <c r="M40" i="23"/>
  <c r="DX39" i="23"/>
  <c r="DV39" i="23"/>
  <c r="DU39" i="23"/>
  <c r="DT39" i="23"/>
  <c r="DW39" i="23" s="1"/>
  <c r="DR39" i="23"/>
  <c r="DN39" i="23"/>
  <c r="DM39" i="23"/>
  <c r="DL39" i="23"/>
  <c r="DB39" i="23"/>
  <c r="CX39" i="23"/>
  <c r="CW39" i="23"/>
  <c r="CV39" i="23"/>
  <c r="Z39" i="23"/>
  <c r="Y39" i="23"/>
  <c r="X39" i="23"/>
  <c r="T39" i="23"/>
  <c r="W39" i="23" s="1"/>
  <c r="DP39" i="23" s="1"/>
  <c r="R39" i="23"/>
  <c r="P39" i="23"/>
  <c r="M39" i="23"/>
  <c r="I39" i="23"/>
  <c r="DX38" i="23"/>
  <c r="DV38" i="23"/>
  <c r="DU38" i="23"/>
  <c r="DT38" i="23"/>
  <c r="DR38" i="23"/>
  <c r="DW38" i="23" s="1"/>
  <c r="DN38" i="23"/>
  <c r="DM38" i="23"/>
  <c r="DK38" i="23"/>
  <c r="DL38" i="23" s="1"/>
  <c r="CX38" i="23"/>
  <c r="CW38" i="23"/>
  <c r="CV38" i="23"/>
  <c r="BC38" i="23"/>
  <c r="Z38" i="23"/>
  <c r="Y38" i="23"/>
  <c r="X38" i="23"/>
  <c r="W38" i="23"/>
  <c r="DP38" i="23" s="1"/>
  <c r="T38" i="23"/>
  <c r="R38" i="23"/>
  <c r="P38" i="23"/>
  <c r="M38" i="23"/>
  <c r="I38" i="23"/>
  <c r="CZ38" i="23" s="1"/>
  <c r="DX37" i="23"/>
  <c r="DV37" i="23"/>
  <c r="DU37" i="23"/>
  <c r="DT37" i="23"/>
  <c r="DR37" i="23"/>
  <c r="DW37" i="23" s="1"/>
  <c r="DN37" i="23"/>
  <c r="DM37" i="23"/>
  <c r="DL37" i="23"/>
  <c r="CX37" i="23"/>
  <c r="CW37" i="23"/>
  <c r="CV37" i="23"/>
  <c r="Z37" i="23"/>
  <c r="Y37" i="23"/>
  <c r="X37" i="23"/>
  <c r="V37" i="23"/>
  <c r="T37" i="23" s="1"/>
  <c r="W37" i="23" s="1"/>
  <c r="DP37" i="23" s="1"/>
  <c r="R37" i="23"/>
  <c r="P37" i="23"/>
  <c r="M37" i="23"/>
  <c r="I37" i="23"/>
  <c r="CZ37" i="23" s="1"/>
  <c r="DX36" i="23"/>
  <c r="DV36" i="23"/>
  <c r="DT36" i="23"/>
  <c r="DR36" i="23"/>
  <c r="DN36" i="23"/>
  <c r="DW36" i="23" s="1"/>
  <c r="DM36" i="23"/>
  <c r="DL36" i="23"/>
  <c r="CZ36" i="23"/>
  <c r="CX36" i="23"/>
  <c r="CW36" i="23"/>
  <c r="CV36" i="23"/>
  <c r="BD36" i="23"/>
  <c r="Z36" i="23"/>
  <c r="Y36" i="23"/>
  <c r="X36" i="23"/>
  <c r="T36" i="23"/>
  <c r="W36" i="23" s="1"/>
  <c r="DP36" i="23" s="1"/>
  <c r="R36" i="23"/>
  <c r="P36" i="23"/>
  <c r="M36" i="23"/>
  <c r="DV35" i="23"/>
  <c r="DU35" i="23"/>
  <c r="DT35" i="23"/>
  <c r="DR35" i="23"/>
  <c r="DN35" i="23"/>
  <c r="DM35" i="23"/>
  <c r="DW35" i="23" s="1"/>
  <c r="DL35" i="23"/>
  <c r="CX35" i="23"/>
  <c r="CV35" i="23"/>
  <c r="Z35" i="23" s="1"/>
  <c r="Y35" i="23"/>
  <c r="X35" i="23"/>
  <c r="T35" i="23"/>
  <c r="R35" i="23"/>
  <c r="CW35" i="23" s="1"/>
  <c r="P35" i="23"/>
  <c r="W35" i="23" s="1"/>
  <c r="DP35" i="23" s="1"/>
  <c r="M35" i="23"/>
  <c r="I35" i="23"/>
  <c r="CZ35" i="23" s="1"/>
  <c r="DV34" i="23"/>
  <c r="DU34" i="23"/>
  <c r="DT34" i="23"/>
  <c r="DR34" i="23"/>
  <c r="DN34" i="23"/>
  <c r="DM34" i="23"/>
  <c r="DL34" i="23"/>
  <c r="CX34" i="23"/>
  <c r="Y34" i="23"/>
  <c r="X34" i="23"/>
  <c r="T34" i="23"/>
  <c r="R34" i="23"/>
  <c r="CW34" i="23" s="1"/>
  <c r="Z34" i="23" s="1"/>
  <c r="P34" i="23"/>
  <c r="CV34" i="23" s="1"/>
  <c r="M34" i="23"/>
  <c r="I34" i="23"/>
  <c r="CZ34" i="23" s="1"/>
  <c r="DV33" i="23"/>
  <c r="DU33" i="23"/>
  <c r="DT33" i="23"/>
  <c r="DR33" i="23"/>
  <c r="DN33" i="23"/>
  <c r="DM33" i="23"/>
  <c r="DW33" i="23" s="1"/>
  <c r="DL33" i="23"/>
  <c r="CZ33" i="23"/>
  <c r="CX33" i="23"/>
  <c r="Y33" i="23"/>
  <c r="T33" i="23"/>
  <c r="R33" i="23"/>
  <c r="CW33" i="23" s="1"/>
  <c r="P33" i="23"/>
  <c r="CV33" i="23" s="1"/>
  <c r="Z33" i="23" s="1"/>
  <c r="M33" i="23"/>
  <c r="X33" i="23" s="1"/>
  <c r="I33" i="23"/>
  <c r="DX33" i="23" s="1"/>
  <c r="DV32" i="23"/>
  <c r="DU32" i="23"/>
  <c r="DT32" i="23"/>
  <c r="DR32" i="23"/>
  <c r="DN32" i="23"/>
  <c r="DM32" i="23"/>
  <c r="DL32" i="23"/>
  <c r="CX32" i="23"/>
  <c r="CZ32" i="23" s="1"/>
  <c r="BD32" i="23"/>
  <c r="Z32" i="23" s="1"/>
  <c r="Y32" i="23"/>
  <c r="X32" i="23"/>
  <c r="T32" i="23"/>
  <c r="W32" i="23" s="1"/>
  <c r="DP32" i="23" s="1"/>
  <c r="R32" i="23"/>
  <c r="CW32" i="23" s="1"/>
  <c r="P32" i="23"/>
  <c r="CV32" i="23" s="1"/>
  <c r="M32" i="23"/>
  <c r="I32" i="23"/>
  <c r="DV31" i="23"/>
  <c r="DU31" i="23"/>
  <c r="DT31" i="23"/>
  <c r="DR31" i="23"/>
  <c r="DN31" i="23"/>
  <c r="DM31" i="23"/>
  <c r="DW31" i="23" s="1"/>
  <c r="DL31" i="23"/>
  <c r="CX31" i="23"/>
  <c r="Y31" i="23"/>
  <c r="T31" i="23"/>
  <c r="R31" i="23"/>
  <c r="CW31" i="23" s="1"/>
  <c r="P31" i="23"/>
  <c r="CV31" i="23" s="1"/>
  <c r="Z31" i="23" s="1"/>
  <c r="M31" i="23"/>
  <c r="X31" i="23" s="1"/>
  <c r="I31" i="23"/>
  <c r="DX31" i="23" s="1"/>
  <c r="DX30" i="23"/>
  <c r="DV30" i="23"/>
  <c r="DU30" i="23"/>
  <c r="DT30" i="23"/>
  <c r="DR30" i="23"/>
  <c r="DN30" i="23"/>
  <c r="DM30" i="23"/>
  <c r="DW30" i="23" s="1"/>
  <c r="DL30" i="23"/>
  <c r="CX30" i="23"/>
  <c r="CZ30" i="23" s="1"/>
  <c r="CW30" i="23"/>
  <c r="Y30" i="23"/>
  <c r="W30" i="23"/>
  <c r="DP30" i="23" s="1"/>
  <c r="T30" i="23"/>
  <c r="R30" i="23"/>
  <c r="P30" i="23"/>
  <c r="CV30" i="23" s="1"/>
  <c r="M30" i="23"/>
  <c r="X30" i="23" s="1"/>
  <c r="I30" i="23"/>
  <c r="DX29" i="23"/>
  <c r="DW29" i="23"/>
  <c r="DV29" i="23"/>
  <c r="DU29" i="23"/>
  <c r="DT29" i="23"/>
  <c r="DR29" i="23"/>
  <c r="DN29" i="23"/>
  <c r="DM29" i="23"/>
  <c r="DL29" i="23"/>
  <c r="CX29" i="23"/>
  <c r="CZ29" i="23" s="1"/>
  <c r="Y29" i="23"/>
  <c r="T29" i="23"/>
  <c r="R29" i="23"/>
  <c r="CW29" i="23" s="1"/>
  <c r="P29" i="23"/>
  <c r="CV29" i="23" s="1"/>
  <c r="Z29" i="23" s="1"/>
  <c r="M29" i="23"/>
  <c r="I29" i="23"/>
  <c r="DV28" i="23"/>
  <c r="DU28" i="23"/>
  <c r="DT28" i="23"/>
  <c r="DR28" i="23"/>
  <c r="DN28" i="23"/>
  <c r="DM28" i="23"/>
  <c r="DW28" i="23" s="1"/>
  <c r="DL28" i="23"/>
  <c r="CX28" i="23"/>
  <c r="CZ28" i="23" s="1"/>
  <c r="CV28" i="23"/>
  <c r="Y28" i="23"/>
  <c r="T28" i="23"/>
  <c r="R28" i="23"/>
  <c r="CW28" i="23" s="1"/>
  <c r="M28" i="23"/>
  <c r="I28" i="23"/>
  <c r="DX28" i="23" s="1"/>
  <c r="DX27" i="23"/>
  <c r="DV27" i="23"/>
  <c r="DW27" i="23" s="1"/>
  <c r="DU27" i="23"/>
  <c r="DT27" i="23"/>
  <c r="DR27" i="23"/>
  <c r="DN27" i="23"/>
  <c r="DM27" i="23"/>
  <c r="DL27" i="23"/>
  <c r="CX27" i="23"/>
  <c r="CZ27" i="23" s="1"/>
  <c r="CW27" i="23"/>
  <c r="CV27" i="23"/>
  <c r="Z27" i="23"/>
  <c r="Y27" i="23"/>
  <c r="X27" i="23"/>
  <c r="T27" i="23"/>
  <c r="R27" i="23"/>
  <c r="P27" i="23"/>
  <c r="M27" i="23"/>
  <c r="W27" i="23" s="1"/>
  <c r="DP27" i="23" s="1"/>
  <c r="I27" i="23"/>
  <c r="DX26" i="23"/>
  <c r="DV26" i="23"/>
  <c r="DT26" i="23"/>
  <c r="DR26" i="23"/>
  <c r="DW26" i="23" s="1"/>
  <c r="DN26" i="23"/>
  <c r="DM26" i="23"/>
  <c r="DL26" i="23"/>
  <c r="DB26" i="23"/>
  <c r="CX26" i="23"/>
  <c r="CZ26" i="23" s="1"/>
  <c r="CW26" i="23"/>
  <c r="CV26" i="23"/>
  <c r="Z26" i="23"/>
  <c r="Y26" i="23"/>
  <c r="X26" i="23"/>
  <c r="V26" i="23"/>
  <c r="T26" i="23" s="1"/>
  <c r="W26" i="23" s="1"/>
  <c r="DP26" i="23" s="1"/>
  <c r="R26" i="23"/>
  <c r="P26" i="23"/>
  <c r="M26" i="23"/>
  <c r="DV25" i="23"/>
  <c r="DU25" i="23"/>
  <c r="DT25" i="23"/>
  <c r="DR25" i="23"/>
  <c r="DW25" i="23" s="1"/>
  <c r="DN25" i="23"/>
  <c r="DM25" i="23"/>
  <c r="DL25" i="23"/>
  <c r="DB25" i="23"/>
  <c r="CX25" i="23"/>
  <c r="CW25" i="23"/>
  <c r="CV25" i="23"/>
  <c r="Z25" i="23"/>
  <c r="Y25" i="23"/>
  <c r="X25" i="23"/>
  <c r="W25" i="23"/>
  <c r="DP25" i="23" s="1"/>
  <c r="T25" i="23"/>
  <c r="R25" i="23"/>
  <c r="P25" i="23"/>
  <c r="M25" i="23"/>
  <c r="I25" i="23"/>
  <c r="CZ25" i="23" s="1"/>
  <c r="DV24" i="23"/>
  <c r="DU24" i="23"/>
  <c r="DT24" i="23"/>
  <c r="DR24" i="23"/>
  <c r="DW24" i="23" s="1"/>
  <c r="DN24" i="23"/>
  <c r="DM24" i="23"/>
  <c r="DL24" i="23"/>
  <c r="DK24" i="23"/>
  <c r="DG24" i="23"/>
  <c r="DB24" i="23"/>
  <c r="CX24" i="23"/>
  <c r="CZ24" i="23" s="1"/>
  <c r="CV24" i="23"/>
  <c r="BD24" i="23"/>
  <c r="Y24" i="23" s="1"/>
  <c r="T24" i="23"/>
  <c r="S24" i="23"/>
  <c r="R24" i="23" s="1"/>
  <c r="CW24" i="23" s="1"/>
  <c r="Z24" i="23" s="1"/>
  <c r="P24" i="23"/>
  <c r="M24" i="23"/>
  <c r="I24" i="23"/>
  <c r="DX24" i="23" s="1"/>
  <c r="DV23" i="23"/>
  <c r="DU23" i="23"/>
  <c r="DT23" i="23"/>
  <c r="DR23" i="23"/>
  <c r="DN23" i="23"/>
  <c r="DM23" i="23"/>
  <c r="DW23" i="23" s="1"/>
  <c r="DK23" i="23"/>
  <c r="DB23" i="23"/>
  <c r="CX23" i="23"/>
  <c r="CZ23" i="23" s="1"/>
  <c r="Y23" i="23"/>
  <c r="V23" i="23"/>
  <c r="T23" i="23"/>
  <c r="S23" i="23"/>
  <c r="W23" i="23" s="1"/>
  <c r="R23" i="23"/>
  <c r="CW23" i="23" s="1"/>
  <c r="Q23" i="23"/>
  <c r="P23" i="23"/>
  <c r="CV23" i="23" s="1"/>
  <c r="M23" i="23"/>
  <c r="I23" i="23"/>
  <c r="DV22" i="23"/>
  <c r="DU22" i="23"/>
  <c r="DT22" i="23"/>
  <c r="DR22" i="23"/>
  <c r="DN22" i="23"/>
  <c r="DM22" i="23"/>
  <c r="DW22" i="23" s="1"/>
  <c r="DL22" i="23"/>
  <c r="DG22" i="23"/>
  <c r="CZ22" i="23"/>
  <c r="CX22" i="23"/>
  <c r="CV22" i="23"/>
  <c r="AN22" i="23"/>
  <c r="Y22" i="23"/>
  <c r="X22" i="23"/>
  <c r="V22" i="23"/>
  <c r="T22" i="23"/>
  <c r="R22" i="23"/>
  <c r="CW22" i="23" s="1"/>
  <c r="Z22" i="23" s="1"/>
  <c r="M22" i="23"/>
  <c r="I22" i="23"/>
  <c r="DX22" i="23" s="1"/>
  <c r="DV21" i="23"/>
  <c r="DT21" i="23"/>
  <c r="DR21" i="23"/>
  <c r="DN21" i="23"/>
  <c r="DM21" i="23"/>
  <c r="DW21" i="23" s="1"/>
  <c r="DL21" i="23"/>
  <c r="CZ21" i="23"/>
  <c r="CX21" i="23"/>
  <c r="DX21" i="23" s="1"/>
  <c r="Y21" i="23"/>
  <c r="T21" i="23"/>
  <c r="R21" i="23"/>
  <c r="CW21" i="23" s="1"/>
  <c r="P21" i="23"/>
  <c r="CV21" i="23" s="1"/>
  <c r="Z21" i="23" s="1"/>
  <c r="M21" i="23"/>
  <c r="X21" i="23" s="1"/>
  <c r="DV20" i="23"/>
  <c r="DU20" i="23"/>
  <c r="DT20" i="23"/>
  <c r="DR20" i="23"/>
  <c r="DN20" i="23"/>
  <c r="DM20" i="23"/>
  <c r="DL20" i="23"/>
  <c r="CX20" i="23"/>
  <c r="CW20" i="23"/>
  <c r="CV20" i="23"/>
  <c r="Z20" i="23" s="1"/>
  <c r="Y20" i="23"/>
  <c r="T20" i="23"/>
  <c r="M20" i="23"/>
  <c r="X20" i="23" s="1"/>
  <c r="I20" i="23"/>
  <c r="DX20" i="23" s="1"/>
  <c r="DV19" i="23"/>
  <c r="DU19" i="23"/>
  <c r="DT19" i="23"/>
  <c r="DR19" i="23"/>
  <c r="DN19" i="23"/>
  <c r="DM19" i="23"/>
  <c r="DW19" i="23" s="1"/>
  <c r="DL19" i="23"/>
  <c r="CX19" i="23"/>
  <c r="CZ19" i="23" s="1"/>
  <c r="CW19" i="23"/>
  <c r="BD19" i="23"/>
  <c r="Y19" i="23" s="1"/>
  <c r="T19" i="23"/>
  <c r="R19" i="23"/>
  <c r="P19" i="23"/>
  <c r="CV19" i="23" s="1"/>
  <c r="M19" i="23"/>
  <c r="I19" i="23"/>
  <c r="DX19" i="23" s="1"/>
  <c r="DX18" i="23"/>
  <c r="DV18" i="23"/>
  <c r="DW18" i="23" s="1"/>
  <c r="DU18" i="23"/>
  <c r="DT18" i="23"/>
  <c r="DR18" i="23"/>
  <c r="DN18" i="23"/>
  <c r="DM18" i="23"/>
  <c r="DL18" i="23"/>
  <c r="DG18" i="23"/>
  <c r="CX18" i="23"/>
  <c r="CZ18" i="23" s="1"/>
  <c r="CW18" i="23"/>
  <c r="CV18" i="23"/>
  <c r="Z18" i="23"/>
  <c r="Y18" i="23"/>
  <c r="T18" i="23"/>
  <c r="R18" i="23"/>
  <c r="P18" i="23"/>
  <c r="M18" i="23"/>
  <c r="I18" i="23"/>
  <c r="DX17" i="23"/>
  <c r="DV17" i="23"/>
  <c r="DT17" i="23"/>
  <c r="DW17" i="23" s="1"/>
  <c r="DR17" i="23"/>
  <c r="DN17" i="23"/>
  <c r="DM17" i="23"/>
  <c r="DL17" i="23"/>
  <c r="CZ17" i="23"/>
  <c r="CX17" i="23"/>
  <c r="CW17" i="23"/>
  <c r="CV17" i="23"/>
  <c r="Z17" i="23"/>
  <c r="Y17" i="23"/>
  <c r="T17" i="23"/>
  <c r="R17" i="23"/>
  <c r="P17" i="23"/>
  <c r="M17" i="23"/>
  <c r="W17" i="23" s="1"/>
  <c r="DP17" i="23" s="1"/>
  <c r="DV16" i="23"/>
  <c r="DU16" i="23"/>
  <c r="DT16" i="23"/>
  <c r="DR16" i="23"/>
  <c r="DW16" i="23" s="1"/>
  <c r="DN16" i="23"/>
  <c r="DM16" i="23"/>
  <c r="DL16" i="23"/>
  <c r="CX16" i="23"/>
  <c r="DX16" i="23" s="1"/>
  <c r="CW16" i="23"/>
  <c r="Z16" i="23" s="1"/>
  <c r="CV16" i="23"/>
  <c r="Y16" i="23"/>
  <c r="X16" i="23"/>
  <c r="T16" i="23"/>
  <c r="W16" i="23" s="1"/>
  <c r="DP16" i="23" s="1"/>
  <c r="R16" i="23"/>
  <c r="P16" i="23"/>
  <c r="M16" i="23"/>
  <c r="I16" i="23"/>
  <c r="DX15" i="23"/>
  <c r="DW15" i="23"/>
  <c r="DV15" i="23"/>
  <c r="DU15" i="23"/>
  <c r="DT15" i="23"/>
  <c r="DR15" i="23"/>
  <c r="DN15" i="23"/>
  <c r="DM15" i="23"/>
  <c r="DL15" i="23"/>
  <c r="CX15" i="23"/>
  <c r="CW15" i="23"/>
  <c r="CV15" i="23"/>
  <c r="Z15" i="23"/>
  <c r="Y15" i="23"/>
  <c r="X15" i="23"/>
  <c r="T15" i="23"/>
  <c r="R15" i="23"/>
  <c r="W15" i="23" s="1"/>
  <c r="DP15" i="23" s="1"/>
  <c r="P15" i="23"/>
  <c r="M15" i="23"/>
  <c r="I15" i="23"/>
  <c r="CZ15" i="23" s="1"/>
  <c r="DV14" i="23"/>
  <c r="DU14" i="23"/>
  <c r="DT14" i="23"/>
  <c r="DW14" i="23" s="1"/>
  <c r="DR14" i="23"/>
  <c r="DN14" i="23"/>
  <c r="DM14" i="23"/>
  <c r="DL14" i="23"/>
  <c r="DB14" i="23"/>
  <c r="CX14" i="23"/>
  <c r="CW14" i="23"/>
  <c r="CV14" i="23"/>
  <c r="Z14" i="23"/>
  <c r="Y14" i="23"/>
  <c r="X14" i="23"/>
  <c r="T14" i="23"/>
  <c r="R14" i="23"/>
  <c r="W14" i="23" s="1"/>
  <c r="DP14" i="23" s="1"/>
  <c r="P14" i="23"/>
  <c r="M14" i="23"/>
  <c r="I14" i="23"/>
  <c r="CZ14" i="23" s="1"/>
  <c r="DV13" i="23"/>
  <c r="DT13" i="23"/>
  <c r="DR13" i="23"/>
  <c r="DN13" i="23"/>
  <c r="DW13" i="23" s="1"/>
  <c r="DM13" i="23"/>
  <c r="DL13" i="23"/>
  <c r="DB13" i="23"/>
  <c r="CX13" i="23"/>
  <c r="CZ13" i="23" s="1"/>
  <c r="Y13" i="23"/>
  <c r="X13" i="23"/>
  <c r="T13" i="23"/>
  <c r="R13" i="23"/>
  <c r="CW13" i="23" s="1"/>
  <c r="P13" i="23"/>
  <c r="CV13" i="23" s="1"/>
  <c r="Z13" i="23" s="1"/>
  <c r="M13" i="23"/>
  <c r="DV12" i="23"/>
  <c r="DU12" i="23"/>
  <c r="DT12" i="23"/>
  <c r="DR12" i="23"/>
  <c r="DN12" i="23"/>
  <c r="DM12" i="23"/>
  <c r="DW12" i="23" s="1"/>
  <c r="DL12" i="23"/>
  <c r="DB12" i="23"/>
  <c r="CZ12" i="23"/>
  <c r="CX12" i="23"/>
  <c r="Y12" i="23"/>
  <c r="X12" i="23"/>
  <c r="V12" i="23"/>
  <c r="T12" i="23"/>
  <c r="R12" i="23"/>
  <c r="CW12" i="23" s="1"/>
  <c r="P12" i="23"/>
  <c r="CV12" i="23" s="1"/>
  <c r="Z12" i="23" s="1"/>
  <c r="M12" i="23"/>
  <c r="I12" i="23"/>
  <c r="DX12" i="23" s="1"/>
  <c r="DV11" i="23"/>
  <c r="DU11" i="23"/>
  <c r="DT11" i="23"/>
  <c r="DR11" i="23"/>
  <c r="DN11" i="23"/>
  <c r="DM11" i="23"/>
  <c r="DL11" i="23"/>
  <c r="DB11" i="23"/>
  <c r="CX11" i="23"/>
  <c r="CZ11" i="23" s="1"/>
  <c r="CV11" i="23"/>
  <c r="BC11" i="23"/>
  <c r="Z11" i="23"/>
  <c r="Y11" i="23"/>
  <c r="X11" i="23"/>
  <c r="V11" i="23"/>
  <c r="T11" i="23" s="1"/>
  <c r="W11" i="23" s="1"/>
  <c r="DP11" i="23" s="1"/>
  <c r="R11" i="23"/>
  <c r="CW11" i="23" s="1"/>
  <c r="P11" i="23"/>
  <c r="M11" i="23"/>
  <c r="I11" i="23"/>
  <c r="DX10" i="23"/>
  <c r="DV10" i="23"/>
  <c r="DW10" i="23" s="1"/>
  <c r="DU10" i="23"/>
  <c r="DT10" i="23"/>
  <c r="DR10" i="23"/>
  <c r="DN10" i="23"/>
  <c r="DM10" i="23"/>
  <c r="DL10" i="23"/>
  <c r="DB10" i="23"/>
  <c r="CX10" i="23"/>
  <c r="CW10" i="23"/>
  <c r="CV10" i="23"/>
  <c r="Z10" i="23"/>
  <c r="Y10" i="23"/>
  <c r="X10" i="23"/>
  <c r="V10" i="23"/>
  <c r="T10" i="23" s="1"/>
  <c r="W10" i="23" s="1"/>
  <c r="DP10" i="23" s="1"/>
  <c r="R10" i="23"/>
  <c r="P10" i="23"/>
  <c r="M10" i="23"/>
  <c r="I10" i="23"/>
  <c r="DX9" i="23"/>
  <c r="DV9" i="23"/>
  <c r="DT9" i="23"/>
  <c r="DR9" i="23"/>
  <c r="DW9" i="23" s="1"/>
  <c r="DN9" i="23"/>
  <c r="DM9" i="23"/>
  <c r="DL9" i="23"/>
  <c r="DB9" i="23"/>
  <c r="CX9" i="23"/>
  <c r="CZ9" i="23" s="1"/>
  <c r="CW9" i="23"/>
  <c r="CV9" i="23"/>
  <c r="Z9" i="23"/>
  <c r="Y9" i="23"/>
  <c r="X9" i="23"/>
  <c r="W9" i="23"/>
  <c r="DP9" i="23" s="1"/>
  <c r="V9" i="23"/>
  <c r="T9" i="23" s="1"/>
  <c r="R9" i="23"/>
  <c r="M9" i="23"/>
  <c r="DV8" i="23"/>
  <c r="DU8" i="23"/>
  <c r="DT8" i="23"/>
  <c r="DR8" i="23"/>
  <c r="DN8" i="23"/>
  <c r="DM8" i="23"/>
  <c r="DW8" i="23" s="1"/>
  <c r="DL8" i="23"/>
  <c r="DB8" i="23"/>
  <c r="CZ8" i="23"/>
  <c r="CX8" i="23"/>
  <c r="CW8" i="23"/>
  <c r="CV8" i="23"/>
  <c r="Z8" i="23"/>
  <c r="Y8" i="23"/>
  <c r="X8" i="23"/>
  <c r="V8" i="23"/>
  <c r="T8" i="23"/>
  <c r="W8" i="23" s="1"/>
  <c r="DP8" i="23" s="1"/>
  <c r="R8" i="23"/>
  <c r="P8" i="23"/>
  <c r="M8" i="23"/>
  <c r="I8" i="23"/>
  <c r="DX8" i="23" s="1"/>
  <c r="DX7" i="23"/>
  <c r="DV7" i="23"/>
  <c r="DT7" i="23"/>
  <c r="DT99" i="23" s="1"/>
  <c r="DT101" i="23" s="1"/>
  <c r="DR7" i="23"/>
  <c r="DN7" i="23"/>
  <c r="DM7" i="23"/>
  <c r="DW7" i="23" s="1"/>
  <c r="DL7" i="23"/>
  <c r="CX7" i="23"/>
  <c r="CZ7" i="23" s="1"/>
  <c r="Y7" i="23"/>
  <c r="T7" i="23"/>
  <c r="R7" i="23"/>
  <c r="CW7" i="23" s="1"/>
  <c r="P7" i="23"/>
  <c r="CV7" i="23" s="1"/>
  <c r="Z7" i="23" s="1"/>
  <c r="M7" i="23"/>
  <c r="W7" i="23" s="1"/>
  <c r="DP7" i="23" s="1"/>
  <c r="DN101" i="22"/>
  <c r="DR101" i="22"/>
  <c r="DT101" i="22"/>
  <c r="DU101" i="22"/>
  <c r="DV101" i="22"/>
  <c r="DM101" i="22"/>
  <c r="DW101" i="22"/>
  <c r="Z71" i="23" l="1"/>
  <c r="Z28" i="23"/>
  <c r="Z62" i="23"/>
  <c r="Y62" i="23"/>
  <c r="X70" i="23"/>
  <c r="W70" i="23"/>
  <c r="DP70" i="23" s="1"/>
  <c r="DW76" i="23"/>
  <c r="X81" i="23"/>
  <c r="W81" i="23"/>
  <c r="DP81" i="23" s="1"/>
  <c r="Z82" i="23"/>
  <c r="DN83" i="23"/>
  <c r="DM83" i="23"/>
  <c r="DL83" i="23"/>
  <c r="Z87" i="23"/>
  <c r="X89" i="23"/>
  <c r="W89" i="23"/>
  <c r="DP89" i="23" s="1"/>
  <c r="DW93" i="23"/>
  <c r="CX94" i="23"/>
  <c r="DV94" i="23"/>
  <c r="DU94" i="23"/>
  <c r="DM94" i="23"/>
  <c r="CZ79" i="23"/>
  <c r="DN81" i="23"/>
  <c r="DW81" i="23" s="1"/>
  <c r="CZ83" i="23"/>
  <c r="DP86" i="23"/>
  <c r="DN86" i="23"/>
  <c r="DM86" i="23"/>
  <c r="DL86" i="23"/>
  <c r="DU86" i="23"/>
  <c r="CZ10" i="23"/>
  <c r="X58" i="23"/>
  <c r="DU79" i="23"/>
  <c r="DW11" i="23"/>
  <c r="DX23" i="23"/>
  <c r="W31" i="23"/>
  <c r="DP31" i="23" s="1"/>
  <c r="X55" i="23"/>
  <c r="X63" i="23"/>
  <c r="W63" i="23"/>
  <c r="DP63" i="23" s="1"/>
  <c r="X64" i="23"/>
  <c r="CV77" i="23"/>
  <c r="Z77" i="23" s="1"/>
  <c r="DU81" i="23"/>
  <c r="DU99" i="23" s="1"/>
  <c r="DU101" i="23" s="1"/>
  <c r="DU83" i="23"/>
  <c r="CZ88" i="23"/>
  <c r="DP94" i="23"/>
  <c r="X41" i="23"/>
  <c r="W41" i="23"/>
  <c r="DP41" i="23" s="1"/>
  <c r="CZ16" i="23"/>
  <c r="CZ45" i="23"/>
  <c r="W13" i="23"/>
  <c r="DP13" i="23" s="1"/>
  <c r="DX93" i="23"/>
  <c r="W12" i="23"/>
  <c r="DP12" i="23" s="1"/>
  <c r="X18" i="23"/>
  <c r="W18" i="23"/>
  <c r="DP18" i="23" s="1"/>
  <c r="CZ20" i="23"/>
  <c r="DX25" i="23"/>
  <c r="DX32" i="23"/>
  <c r="DW32" i="23"/>
  <c r="W33" i="23"/>
  <c r="DP33" i="23" s="1"/>
  <c r="DW34" i="23"/>
  <c r="X42" i="23"/>
  <c r="W42" i="23"/>
  <c r="DP42" i="23" s="1"/>
  <c r="W43" i="23"/>
  <c r="DP43" i="23" s="1"/>
  <c r="X52" i="23"/>
  <c r="W52" i="23"/>
  <c r="DP52" i="23" s="1"/>
  <c r="Z53" i="23"/>
  <c r="X69" i="23"/>
  <c r="W69" i="23"/>
  <c r="DP69" i="23" s="1"/>
  <c r="W72" i="23"/>
  <c r="DP72" i="23" s="1"/>
  <c r="CZ75" i="23"/>
  <c r="W76" i="23"/>
  <c r="DP76" i="23" s="1"/>
  <c r="X79" i="23"/>
  <c r="DN80" i="23"/>
  <c r="DM80" i="23"/>
  <c r="DW80" i="23" s="1"/>
  <c r="DV81" i="23"/>
  <c r="DV99" i="23" s="1"/>
  <c r="DV101" i="23" s="1"/>
  <c r="DV83" i="23"/>
  <c r="W91" i="23"/>
  <c r="DP91" i="23" s="1"/>
  <c r="W93" i="23"/>
  <c r="DP93" i="23" s="1"/>
  <c r="X51" i="23"/>
  <c r="W51" i="23"/>
  <c r="DP51" i="23" s="1"/>
  <c r="DX58" i="23"/>
  <c r="CZ58" i="23"/>
  <c r="X84" i="23"/>
  <c r="W84" i="23"/>
  <c r="DP84" i="23" s="1"/>
  <c r="CZ81" i="23"/>
  <c r="W95" i="23"/>
  <c r="DP95" i="23" s="1"/>
  <c r="W22" i="23"/>
  <c r="DP22" i="23" s="1"/>
  <c r="W75" i="23"/>
  <c r="DP75" i="23" s="1"/>
  <c r="DL81" i="23"/>
  <c r="CW97" i="23"/>
  <c r="Z97" i="23" s="1"/>
  <c r="W97" i="23"/>
  <c r="DP97" i="23" s="1"/>
  <c r="X28" i="23"/>
  <c r="W28" i="23"/>
  <c r="DP28" i="23" s="1"/>
  <c r="Z75" i="23"/>
  <c r="CZ39" i="23"/>
  <c r="X83" i="23"/>
  <c r="W83" i="23"/>
  <c r="DP83" i="23" s="1"/>
  <c r="DV86" i="23"/>
  <c r="DN94" i="23"/>
  <c r="Z19" i="23"/>
  <c r="X23" i="23"/>
  <c r="X24" i="23"/>
  <c r="W24" i="23"/>
  <c r="DP24" i="23" s="1"/>
  <c r="Z30" i="23"/>
  <c r="W47" i="23"/>
  <c r="DP47" i="23" s="1"/>
  <c r="Z61" i="23"/>
  <c r="Y61" i="23"/>
  <c r="DX61" i="23"/>
  <c r="DX67" i="23"/>
  <c r="DW71" i="23"/>
  <c r="X74" i="23"/>
  <c r="W85" i="23"/>
  <c r="DP85" i="23" s="1"/>
  <c r="CZ87" i="23"/>
  <c r="DW92" i="23"/>
  <c r="X29" i="23"/>
  <c r="W29" i="23"/>
  <c r="DP29" i="23" s="1"/>
  <c r="CZ50" i="23"/>
  <c r="CZ66" i="23"/>
  <c r="W20" i="23"/>
  <c r="DP20" i="23" s="1"/>
  <c r="CZ74" i="23"/>
  <c r="X19" i="23"/>
  <c r="W19" i="23"/>
  <c r="DP19" i="23" s="1"/>
  <c r="DW20" i="23"/>
  <c r="DP23" i="23"/>
  <c r="DK99" i="23"/>
  <c r="DW75" i="23"/>
  <c r="X80" i="23"/>
  <c r="W80" i="23"/>
  <c r="DP80" i="23" s="1"/>
  <c r="DN82" i="23"/>
  <c r="DM82" i="23"/>
  <c r="DW82" i="23" s="1"/>
  <c r="W34" i="23"/>
  <c r="DP34" i="23" s="1"/>
  <c r="DP79" i="23"/>
  <c r="DN79" i="23"/>
  <c r="DN99" i="23" s="1"/>
  <c r="DN101" i="23" s="1"/>
  <c r="DM79" i="23"/>
  <c r="DW79" i="23" s="1"/>
  <c r="DL79" i="23"/>
  <c r="DR99" i="23"/>
  <c r="DR101" i="23" s="1"/>
  <c r="X17" i="23"/>
  <c r="W48" i="23"/>
  <c r="DP48" i="23" s="1"/>
  <c r="CZ54" i="23"/>
  <c r="W53" i="23"/>
  <c r="DP53" i="23" s="1"/>
  <c r="X61" i="23"/>
  <c r="W61" i="23"/>
  <c r="DP61" i="23" s="1"/>
  <c r="W21" i="23"/>
  <c r="DP21" i="23" s="1"/>
  <c r="Z23" i="23"/>
  <c r="DL23" i="23"/>
  <c r="CZ31" i="23"/>
  <c r="X46" i="23"/>
  <c r="W46" i="23"/>
  <c r="DP46" i="23" s="1"/>
  <c r="DW48" i="23"/>
  <c r="CZ53" i="23"/>
  <c r="W56" i="23"/>
  <c r="DP56" i="23" s="1"/>
  <c r="DX57" i="23"/>
  <c r="X62" i="23"/>
  <c r="W62" i="23"/>
  <c r="DP62" i="23" s="1"/>
  <c r="X71" i="23"/>
  <c r="W71" i="23"/>
  <c r="DP71" i="23" s="1"/>
  <c r="X82" i="23"/>
  <c r="W82" i="23"/>
  <c r="DP82" i="23" s="1"/>
  <c r="DL82" i="23"/>
  <c r="X90" i="23"/>
  <c r="W90" i="23"/>
  <c r="DP90" i="23" s="1"/>
  <c r="DX13" i="23"/>
  <c r="DX14" i="23"/>
  <c r="DX35" i="23"/>
  <c r="DX77" i="23"/>
  <c r="DL85" i="23"/>
  <c r="DX11" i="23"/>
  <c r="DX34" i="23"/>
  <c r="DX55" i="23"/>
  <c r="DM85" i="23"/>
  <c r="DW85" i="23" s="1"/>
  <c r="DV93" i="23"/>
  <c r="DN85" i="23"/>
  <c r="DN7" i="22"/>
  <c r="CZ94" i="23" l="1"/>
  <c r="DX94" i="23"/>
  <c r="DM99" i="23"/>
  <c r="DM101" i="23" s="1"/>
  <c r="DW83" i="23"/>
  <c r="DW99" i="23" s="1"/>
  <c r="DW101" i="23" s="1"/>
  <c r="DW86" i="23"/>
  <c r="DW94" i="23"/>
  <c r="DO99" i="22"/>
  <c r="DS99" i="22"/>
  <c r="DL8" i="22"/>
  <c r="DL9" i="22"/>
  <c r="DL10" i="22"/>
  <c r="DL11" i="22"/>
  <c r="DL12" i="22"/>
  <c r="DL13" i="22"/>
  <c r="DL14" i="22"/>
  <c r="DL15" i="22"/>
  <c r="DL16" i="22"/>
  <c r="DL17" i="22"/>
  <c r="DL18" i="22"/>
  <c r="DL19" i="22"/>
  <c r="DL20" i="22"/>
  <c r="DL21" i="22"/>
  <c r="DL22" i="22"/>
  <c r="DL25" i="22"/>
  <c r="DL26" i="22"/>
  <c r="DL27" i="22"/>
  <c r="DL28" i="22"/>
  <c r="DL29" i="22"/>
  <c r="DL30" i="22"/>
  <c r="DL31" i="22"/>
  <c r="DL32" i="22"/>
  <c r="DL33" i="22"/>
  <c r="DL34" i="22"/>
  <c r="DL35" i="22"/>
  <c r="DL36" i="22"/>
  <c r="DL37" i="22"/>
  <c r="DL39" i="22"/>
  <c r="DL40" i="22"/>
  <c r="DL41" i="22"/>
  <c r="DL42" i="22"/>
  <c r="DL43" i="22"/>
  <c r="DL44" i="22"/>
  <c r="DL45" i="22"/>
  <c r="DL46" i="22"/>
  <c r="DL47" i="22"/>
  <c r="DL48" i="22"/>
  <c r="DL49" i="22"/>
  <c r="DL50" i="22"/>
  <c r="DL51" i="22"/>
  <c r="DL52" i="22"/>
  <c r="DL53" i="22"/>
  <c r="DL54" i="22"/>
  <c r="DL55" i="22"/>
  <c r="DL56" i="22"/>
  <c r="DL57" i="22"/>
  <c r="DL59" i="22"/>
  <c r="DL60" i="22"/>
  <c r="DL61" i="22"/>
  <c r="DL62" i="22"/>
  <c r="DL63" i="22"/>
  <c r="DL64" i="22"/>
  <c r="DL65" i="22"/>
  <c r="DL66" i="22"/>
  <c r="DL67" i="22"/>
  <c r="DL68" i="22"/>
  <c r="DL69" i="22"/>
  <c r="DL70" i="22"/>
  <c r="DL71" i="22"/>
  <c r="DL72" i="22"/>
  <c r="DL73" i="22"/>
  <c r="DL74" i="22"/>
  <c r="DL75" i="22"/>
  <c r="DL76" i="22"/>
  <c r="DL77" i="22"/>
  <c r="DL78" i="22"/>
  <c r="DL84" i="22"/>
  <c r="DL88" i="22"/>
  <c r="DL89" i="22"/>
  <c r="DL90" i="22"/>
  <c r="DL91" i="22"/>
  <c r="DL92" i="22"/>
  <c r="DL95" i="22"/>
  <c r="DL96" i="22"/>
  <c r="DL97" i="22"/>
  <c r="DL98" i="22"/>
  <c r="DL7" i="22"/>
  <c r="DV8" i="22" l="1"/>
  <c r="DV9" i="22"/>
  <c r="DV10" i="22"/>
  <c r="DV11" i="22"/>
  <c r="DV12" i="22"/>
  <c r="DV13" i="22"/>
  <c r="DV14" i="22"/>
  <c r="DV15" i="22"/>
  <c r="DV16" i="22"/>
  <c r="DV17" i="22"/>
  <c r="DV18" i="22"/>
  <c r="DV19" i="22"/>
  <c r="DV20" i="22"/>
  <c r="DV21" i="22"/>
  <c r="DV22" i="22"/>
  <c r="DV25" i="22"/>
  <c r="DV26" i="22"/>
  <c r="DV27" i="22"/>
  <c r="DV28" i="22"/>
  <c r="DV29" i="22"/>
  <c r="DV30" i="22"/>
  <c r="DV31" i="22"/>
  <c r="DV32" i="22"/>
  <c r="DV33" i="22"/>
  <c r="DV34" i="22"/>
  <c r="DV35" i="22"/>
  <c r="DV36" i="22"/>
  <c r="DV37" i="22"/>
  <c r="DV39" i="22"/>
  <c r="DV40" i="22"/>
  <c r="DV41" i="22"/>
  <c r="DV42" i="22"/>
  <c r="DV43" i="22"/>
  <c r="DV44" i="22"/>
  <c r="DV45" i="22"/>
  <c r="DV46" i="22"/>
  <c r="DV47" i="22"/>
  <c r="DV48" i="22"/>
  <c r="DV49" i="22"/>
  <c r="DV50" i="22"/>
  <c r="DV51" i="22"/>
  <c r="DV52" i="22"/>
  <c r="DV53" i="22"/>
  <c r="DV54" i="22"/>
  <c r="DV55" i="22"/>
  <c r="DV56" i="22"/>
  <c r="DV57" i="22"/>
  <c r="DV59" i="22"/>
  <c r="DV60" i="22"/>
  <c r="DV61" i="22"/>
  <c r="DV62" i="22"/>
  <c r="DV63" i="22"/>
  <c r="DV64" i="22"/>
  <c r="DV65" i="22"/>
  <c r="DV66" i="22"/>
  <c r="DV67" i="22"/>
  <c r="DV68" i="22"/>
  <c r="DV69" i="22"/>
  <c r="DV70" i="22"/>
  <c r="DV71" i="22"/>
  <c r="DV72" i="22"/>
  <c r="DV73" i="22"/>
  <c r="DV74" i="22"/>
  <c r="DV75" i="22"/>
  <c r="DV76" i="22"/>
  <c r="DV77" i="22"/>
  <c r="DV78" i="22"/>
  <c r="DV84" i="22"/>
  <c r="DV88" i="22"/>
  <c r="DV89" i="22"/>
  <c r="DV90" i="22"/>
  <c r="DV91" i="22"/>
  <c r="DV92" i="22"/>
  <c r="DV95" i="22"/>
  <c r="DV96" i="22"/>
  <c r="DV97" i="22"/>
  <c r="DV98" i="22"/>
  <c r="DV7" i="22"/>
  <c r="DT98" i="22" l="1"/>
  <c r="DR98" i="22"/>
  <c r="DN98" i="22"/>
  <c r="DM98" i="22"/>
  <c r="DG98" i="22"/>
  <c r="CX98" i="22"/>
  <c r="Y98" i="22"/>
  <c r="T98" i="22"/>
  <c r="R98" i="22"/>
  <c r="CW98" i="22" s="1"/>
  <c r="P98" i="22"/>
  <c r="CV98" i="22" s="1"/>
  <c r="M98" i="22"/>
  <c r="X98" i="22" s="1"/>
  <c r="I98" i="22"/>
  <c r="DT97" i="22"/>
  <c r="DR97" i="22"/>
  <c r="DN97" i="22"/>
  <c r="DM97" i="22"/>
  <c r="DG97" i="22"/>
  <c r="CX97" i="22"/>
  <c r="CV97" i="22"/>
  <c r="Y97" i="22"/>
  <c r="T97" i="22"/>
  <c r="R97" i="22"/>
  <c r="M97" i="22"/>
  <c r="X97" i="22" s="1"/>
  <c r="I97" i="22"/>
  <c r="DT96" i="22"/>
  <c r="DR96" i="22"/>
  <c r="DN96" i="22"/>
  <c r="DM96" i="22"/>
  <c r="DG96" i="22"/>
  <c r="CX96" i="22"/>
  <c r="BC96" i="22"/>
  <c r="Y96" i="22" s="1"/>
  <c r="BA96" i="22"/>
  <c r="V96" i="22"/>
  <c r="T96" i="22"/>
  <c r="R96" i="22"/>
  <c r="CW96" i="22" s="1"/>
  <c r="P96" i="22"/>
  <c r="CV96" i="22" s="1"/>
  <c r="M96" i="22"/>
  <c r="X96" i="22" s="1"/>
  <c r="I96" i="22"/>
  <c r="DT95" i="22"/>
  <c r="DR95" i="22"/>
  <c r="DN95" i="22"/>
  <c r="DM95" i="22"/>
  <c r="CX95" i="22"/>
  <c r="CV95" i="22"/>
  <c r="Y95" i="22"/>
  <c r="T95" i="22"/>
  <c r="R95" i="22"/>
  <c r="CW95" i="22" s="1"/>
  <c r="Z95" i="22" s="1"/>
  <c r="M95" i="22"/>
  <c r="I95" i="22"/>
  <c r="DT94" i="22"/>
  <c r="DR94" i="22"/>
  <c r="DK94" i="22"/>
  <c r="DL94" i="22" s="1"/>
  <c r="Y94" i="22"/>
  <c r="T94" i="22"/>
  <c r="R94" i="22"/>
  <c r="CW94" i="22" s="1"/>
  <c r="P94" i="22"/>
  <c r="CV94" i="22" s="1"/>
  <c r="M94" i="22"/>
  <c r="X94" i="22" s="1"/>
  <c r="DT93" i="22"/>
  <c r="DR93" i="22"/>
  <c r="DK93" i="22"/>
  <c r="DL93" i="22" s="1"/>
  <c r="DG93" i="22"/>
  <c r="BC93" i="22"/>
  <c r="Y93" i="22" s="1"/>
  <c r="T93" i="22"/>
  <c r="R93" i="22"/>
  <c r="CW93" i="22" s="1"/>
  <c r="P93" i="22"/>
  <c r="CV93" i="22" s="1"/>
  <c r="M93" i="22"/>
  <c r="I93" i="22"/>
  <c r="DT92" i="22"/>
  <c r="DR92" i="22"/>
  <c r="DN92" i="22"/>
  <c r="DM92" i="22"/>
  <c r="DB92" i="22"/>
  <c r="CX92" i="22"/>
  <c r="AP92" i="22"/>
  <c r="Y92" i="22" s="1"/>
  <c r="T92" i="22"/>
  <c r="R92" i="22"/>
  <c r="CW92" i="22" s="1"/>
  <c r="P92" i="22"/>
  <c r="CV92" i="22" s="1"/>
  <c r="M92" i="22"/>
  <c r="X92" i="22" s="1"/>
  <c r="I92" i="22"/>
  <c r="DT91" i="22"/>
  <c r="DR91" i="22"/>
  <c r="DN91" i="22"/>
  <c r="DM91" i="22"/>
  <c r="CX91" i="22"/>
  <c r="CW91" i="22"/>
  <c r="Y91" i="22"/>
  <c r="T91" i="22"/>
  <c r="P91" i="22"/>
  <c r="CV91" i="22" s="1"/>
  <c r="M91" i="22"/>
  <c r="I91" i="22"/>
  <c r="DT90" i="22"/>
  <c r="DR90" i="22"/>
  <c r="DN90" i="22"/>
  <c r="DM90" i="22"/>
  <c r="CX90" i="22"/>
  <c r="Y90" i="22"/>
  <c r="T90" i="22"/>
  <c r="R90" i="22"/>
  <c r="CW90" i="22" s="1"/>
  <c r="P90" i="22"/>
  <c r="CV90" i="22" s="1"/>
  <c r="M90" i="22"/>
  <c r="X90" i="22" s="1"/>
  <c r="I90" i="22"/>
  <c r="DT89" i="22"/>
  <c r="DR89" i="22"/>
  <c r="DN89" i="22"/>
  <c r="DM89" i="22"/>
  <c r="CX89" i="22"/>
  <c r="AP89" i="22"/>
  <c r="Y89" i="22" s="1"/>
  <c r="T89" i="22"/>
  <c r="R89" i="22"/>
  <c r="CW89" i="22" s="1"/>
  <c r="P89" i="22"/>
  <c r="CV89" i="22" s="1"/>
  <c r="M89" i="22"/>
  <c r="I89" i="22"/>
  <c r="DT88" i="22"/>
  <c r="DR88" i="22"/>
  <c r="DN88" i="22"/>
  <c r="DM88" i="22"/>
  <c r="CX88" i="22"/>
  <c r="Y88" i="22"/>
  <c r="T88" i="22"/>
  <c r="R88" i="22"/>
  <c r="CW88" i="22" s="1"/>
  <c r="P88" i="22"/>
  <c r="CV88" i="22" s="1"/>
  <c r="M88" i="22"/>
  <c r="X88" i="22" s="1"/>
  <c r="I88" i="22"/>
  <c r="DT87" i="22"/>
  <c r="DR87" i="22"/>
  <c r="DK87" i="22"/>
  <c r="BD87" i="22"/>
  <c r="Y87" i="22" s="1"/>
  <c r="T87" i="22"/>
  <c r="R87" i="22"/>
  <c r="CW87" i="22" s="1"/>
  <c r="P87" i="22"/>
  <c r="CV87" i="22" s="1"/>
  <c r="M87" i="22"/>
  <c r="X87" i="22" s="1"/>
  <c r="I87" i="22"/>
  <c r="DT86" i="22"/>
  <c r="DR86" i="22"/>
  <c r="DK86" i="22"/>
  <c r="CX86" i="22" s="1"/>
  <c r="Y86" i="22"/>
  <c r="T86" i="22"/>
  <c r="R86" i="22"/>
  <c r="CW86" i="22" s="1"/>
  <c r="P86" i="22"/>
  <c r="CV86" i="22" s="1"/>
  <c r="M86" i="22"/>
  <c r="X86" i="22" s="1"/>
  <c r="I86" i="22"/>
  <c r="DU85" i="22"/>
  <c r="DT85" i="22"/>
  <c r="DR85" i="22"/>
  <c r="DK85" i="22"/>
  <c r="CX85" i="22"/>
  <c r="Y85" i="22"/>
  <c r="V85" i="22"/>
  <c r="T85" i="22" s="1"/>
  <c r="R85" i="22"/>
  <c r="CW85" i="22" s="1"/>
  <c r="P85" i="22"/>
  <c r="M85" i="22"/>
  <c r="X85" i="22" s="1"/>
  <c r="I85" i="22"/>
  <c r="CZ85" i="22" s="1"/>
  <c r="DU84" i="22"/>
  <c r="DT84" i="22"/>
  <c r="DR84" i="22"/>
  <c r="DN84" i="22"/>
  <c r="DM84" i="22"/>
  <c r="DB84" i="22"/>
  <c r="CX84" i="22"/>
  <c r="Y84" i="22"/>
  <c r="T84" i="22"/>
  <c r="R84" i="22"/>
  <c r="CW84" i="22" s="1"/>
  <c r="P84" i="22"/>
  <c r="CV84" i="22" s="1"/>
  <c r="M84" i="22"/>
  <c r="X84" i="22" s="1"/>
  <c r="I84" i="22"/>
  <c r="DT83" i="22"/>
  <c r="DR83" i="22"/>
  <c r="DK83" i="22"/>
  <c r="DL83" i="22" s="1"/>
  <c r="Y83" i="22"/>
  <c r="V83" i="22"/>
  <c r="T83" i="22" s="1"/>
  <c r="R83" i="22"/>
  <c r="CW83" i="22" s="1"/>
  <c r="P83" i="22"/>
  <c r="CV83" i="22" s="1"/>
  <c r="M83" i="22"/>
  <c r="X83" i="22" s="1"/>
  <c r="DT82" i="22"/>
  <c r="DR82" i="22"/>
  <c r="DK82" i="22"/>
  <c r="DL82" i="22" s="1"/>
  <c r="AU82" i="22"/>
  <c r="Y82" i="22" s="1"/>
  <c r="V82" i="22"/>
  <c r="T82" i="22" s="1"/>
  <c r="R82" i="22"/>
  <c r="CW82" i="22" s="1"/>
  <c r="P82" i="22"/>
  <c r="CV82" i="22" s="1"/>
  <c r="M82" i="22"/>
  <c r="X82" i="22" s="1"/>
  <c r="DT81" i="22"/>
  <c r="DR81" i="22"/>
  <c r="DK81" i="22"/>
  <c r="CX81" i="22" s="1"/>
  <c r="Y81" i="22"/>
  <c r="T81" i="22"/>
  <c r="R81" i="22"/>
  <c r="CW81" i="22" s="1"/>
  <c r="P81" i="22"/>
  <c r="CV81" i="22" s="1"/>
  <c r="M81" i="22"/>
  <c r="X81" i="22" s="1"/>
  <c r="DT80" i="22"/>
  <c r="DR80" i="22"/>
  <c r="DK80" i="22"/>
  <c r="DL80" i="22" s="1"/>
  <c r="Y80" i="22"/>
  <c r="T80" i="22"/>
  <c r="R80" i="22"/>
  <c r="CW80" i="22" s="1"/>
  <c r="P80" i="22"/>
  <c r="CV80" i="22" s="1"/>
  <c r="M80" i="22"/>
  <c r="DT79" i="22"/>
  <c r="DR79" i="22"/>
  <c r="DK79" i="22"/>
  <c r="CX79" i="22"/>
  <c r="DX79" i="22" s="1"/>
  <c r="Y79" i="22"/>
  <c r="T79" i="22"/>
  <c r="R79" i="22"/>
  <c r="CW79" i="22" s="1"/>
  <c r="P79" i="22"/>
  <c r="CV79" i="22" s="1"/>
  <c r="M79" i="22"/>
  <c r="DT78" i="22"/>
  <c r="DR78" i="22"/>
  <c r="DN78" i="22"/>
  <c r="DM78" i="22"/>
  <c r="CX78" i="22"/>
  <c r="DX78" i="22" s="1"/>
  <c r="BC78" i="22"/>
  <c r="Y78" i="22" s="1"/>
  <c r="T78" i="22"/>
  <c r="R78" i="22"/>
  <c r="CW78" i="22" s="1"/>
  <c r="P78" i="22"/>
  <c r="CV78" i="22" s="1"/>
  <c r="M78" i="22"/>
  <c r="X78" i="22" s="1"/>
  <c r="DU77" i="22"/>
  <c r="DT77" i="22"/>
  <c r="DR77" i="22"/>
  <c r="DN77" i="22"/>
  <c r="DM77" i="22"/>
  <c r="CX77" i="22"/>
  <c r="Y77" i="22"/>
  <c r="T77" i="22"/>
  <c r="R77" i="22"/>
  <c r="CW77" i="22" s="1"/>
  <c r="P77" i="22"/>
  <c r="CV77" i="22" s="1"/>
  <c r="M77" i="22"/>
  <c r="I77" i="22"/>
  <c r="DT76" i="22"/>
  <c r="DR76" i="22"/>
  <c r="DN76" i="22"/>
  <c r="DM76" i="22"/>
  <c r="CX76" i="22"/>
  <c r="DX76" i="22" s="1"/>
  <c r="BC76" i="22"/>
  <c r="Y76" i="22" s="1"/>
  <c r="T76" i="22"/>
  <c r="R76" i="22"/>
  <c r="CW76" i="22" s="1"/>
  <c r="P76" i="22"/>
  <c r="CV76" i="22" s="1"/>
  <c r="M76" i="22"/>
  <c r="DT75" i="22"/>
  <c r="DR75" i="22"/>
  <c r="DN75" i="22"/>
  <c r="DM75" i="22"/>
  <c r="CX75" i="22"/>
  <c r="CZ75" i="22" s="1"/>
  <c r="CV75" i="22"/>
  <c r="Y75" i="22"/>
  <c r="T75" i="22"/>
  <c r="R75" i="22"/>
  <c r="M75" i="22"/>
  <c r="X75" i="22" s="1"/>
  <c r="DT74" i="22"/>
  <c r="DR74" i="22"/>
  <c r="DN74" i="22"/>
  <c r="DM74" i="22"/>
  <c r="CX74" i="22"/>
  <c r="CZ74" i="22" s="1"/>
  <c r="Y74" i="22"/>
  <c r="T74" i="22"/>
  <c r="R74" i="22"/>
  <c r="CW74" i="22" s="1"/>
  <c r="P74" i="22"/>
  <c r="CV74" i="22" s="1"/>
  <c r="M74" i="22"/>
  <c r="DT73" i="22"/>
  <c r="DR73" i="22"/>
  <c r="DN73" i="22"/>
  <c r="DM73" i="22"/>
  <c r="CX73" i="22"/>
  <c r="Y73" i="22"/>
  <c r="T73" i="22"/>
  <c r="R73" i="22"/>
  <c r="CW73" i="22" s="1"/>
  <c r="P73" i="22"/>
  <c r="CV73" i="22" s="1"/>
  <c r="M73" i="22"/>
  <c r="DT72" i="22"/>
  <c r="DR72" i="22"/>
  <c r="DN72" i="22"/>
  <c r="DM72" i="22"/>
  <c r="CX72" i="22"/>
  <c r="DX72" i="22" s="1"/>
  <c r="Y72" i="22"/>
  <c r="T72" i="22"/>
  <c r="R72" i="22"/>
  <c r="CW72" i="22" s="1"/>
  <c r="P72" i="22"/>
  <c r="CV72" i="22" s="1"/>
  <c r="M72" i="22"/>
  <c r="X72" i="22" s="1"/>
  <c r="DT71" i="22"/>
  <c r="DR71" i="22"/>
  <c r="DN71" i="22"/>
  <c r="DM71" i="22"/>
  <c r="CX71" i="22"/>
  <c r="DX71" i="22" s="1"/>
  <c r="Y71" i="22"/>
  <c r="T71" i="22"/>
  <c r="R71" i="22"/>
  <c r="CW71" i="22" s="1"/>
  <c r="P71" i="22"/>
  <c r="CV71" i="22" s="1"/>
  <c r="M71" i="22"/>
  <c r="DU70" i="22"/>
  <c r="DT70" i="22"/>
  <c r="DR70" i="22"/>
  <c r="DN70" i="22"/>
  <c r="DM70" i="22"/>
  <c r="CX70" i="22"/>
  <c r="Y70" i="22"/>
  <c r="V70" i="22"/>
  <c r="T70" i="22" s="1"/>
  <c r="R70" i="22"/>
  <c r="CW70" i="22" s="1"/>
  <c r="P70" i="22"/>
  <c r="CV70" i="22" s="1"/>
  <c r="M70" i="22"/>
  <c r="I70" i="22"/>
  <c r="DU69" i="22"/>
  <c r="DT69" i="22"/>
  <c r="DR69" i="22"/>
  <c r="DN69" i="22"/>
  <c r="DM69" i="22"/>
  <c r="CX69" i="22"/>
  <c r="Y69" i="22"/>
  <c r="T69" i="22"/>
  <c r="R69" i="22"/>
  <c r="CW69" i="22" s="1"/>
  <c r="P69" i="22"/>
  <c r="CV69" i="22" s="1"/>
  <c r="M69" i="22"/>
  <c r="X69" i="22" s="1"/>
  <c r="I69" i="22"/>
  <c r="DU68" i="22"/>
  <c r="DT68" i="22"/>
  <c r="DR68" i="22"/>
  <c r="DN68" i="22"/>
  <c r="DM68" i="22"/>
  <c r="CX68" i="22"/>
  <c r="Y68" i="22"/>
  <c r="T68" i="22"/>
  <c r="R68" i="22"/>
  <c r="CW68" i="22" s="1"/>
  <c r="P68" i="22"/>
  <c r="CV68" i="22" s="1"/>
  <c r="M68" i="22"/>
  <c r="X68" i="22" s="1"/>
  <c r="I68" i="22"/>
  <c r="DU67" i="22"/>
  <c r="DT67" i="22"/>
  <c r="DR67" i="22"/>
  <c r="DN67" i="22"/>
  <c r="DM67" i="22"/>
  <c r="CX67" i="22"/>
  <c r="Y67" i="22"/>
  <c r="T67" i="22"/>
  <c r="R67" i="22"/>
  <c r="CW67" i="22" s="1"/>
  <c r="P67" i="22"/>
  <c r="CV67" i="22" s="1"/>
  <c r="M67" i="22"/>
  <c r="X67" i="22" s="1"/>
  <c r="I67" i="22"/>
  <c r="DU66" i="22"/>
  <c r="DT66" i="22"/>
  <c r="DR66" i="22"/>
  <c r="DN66" i="22"/>
  <c r="DM66" i="22"/>
  <c r="CX66" i="22"/>
  <c r="Y66" i="22"/>
  <c r="T66" i="22"/>
  <c r="R66" i="22"/>
  <c r="CW66" i="22" s="1"/>
  <c r="P66" i="22"/>
  <c r="CV66" i="22" s="1"/>
  <c r="M66" i="22"/>
  <c r="X66" i="22" s="1"/>
  <c r="I66" i="22"/>
  <c r="DT65" i="22"/>
  <c r="DR65" i="22"/>
  <c r="DN65" i="22"/>
  <c r="DM65" i="22"/>
  <c r="CX65" i="22"/>
  <c r="CZ65" i="22" s="1"/>
  <c r="Y65" i="22"/>
  <c r="T65" i="22"/>
  <c r="R65" i="22"/>
  <c r="CW65" i="22" s="1"/>
  <c r="P65" i="22"/>
  <c r="CV65" i="22" s="1"/>
  <c r="M65" i="22"/>
  <c r="X65" i="22" s="1"/>
  <c r="DT64" i="22"/>
  <c r="DR64" i="22"/>
  <c r="DN64" i="22"/>
  <c r="DM64" i="22"/>
  <c r="CX64" i="22"/>
  <c r="Y64" i="22"/>
  <c r="T64" i="22"/>
  <c r="R64" i="22"/>
  <c r="CW64" i="22" s="1"/>
  <c r="P64" i="22"/>
  <c r="CV64" i="22" s="1"/>
  <c r="M64" i="22"/>
  <c r="X64" i="22" s="1"/>
  <c r="DU63" i="22"/>
  <c r="DT63" i="22"/>
  <c r="DR63" i="22"/>
  <c r="DN63" i="22"/>
  <c r="DM63" i="22"/>
  <c r="CX63" i="22"/>
  <c r="Y63" i="22"/>
  <c r="T63" i="22"/>
  <c r="R63" i="22"/>
  <c r="CW63" i="22" s="1"/>
  <c r="P63" i="22"/>
  <c r="CV63" i="22" s="1"/>
  <c r="M63" i="22"/>
  <c r="X63" i="22" s="1"/>
  <c r="I63" i="22"/>
  <c r="DU62" i="22"/>
  <c r="DT62" i="22"/>
  <c r="DR62" i="22"/>
  <c r="DN62" i="22"/>
  <c r="DM62" i="22"/>
  <c r="CX62" i="22"/>
  <c r="AO62" i="22"/>
  <c r="Y62" i="22" s="1"/>
  <c r="V62" i="22"/>
  <c r="T62" i="22" s="1"/>
  <c r="R62" i="22"/>
  <c r="CW62" i="22" s="1"/>
  <c r="P62" i="22"/>
  <c r="CV62" i="22" s="1"/>
  <c r="M62" i="22"/>
  <c r="I62" i="22"/>
  <c r="DT61" i="22"/>
  <c r="DR61" i="22"/>
  <c r="DN61" i="22"/>
  <c r="DM61" i="22"/>
  <c r="CX61" i="22"/>
  <c r="CZ61" i="22" s="1"/>
  <c r="CV61" i="22"/>
  <c r="AU61" i="22"/>
  <c r="Y61" i="22" s="1"/>
  <c r="T61" i="22"/>
  <c r="R61" i="22"/>
  <c r="CW61" i="22" s="1"/>
  <c r="M61" i="22"/>
  <c r="X61" i="22" s="1"/>
  <c r="DT60" i="22"/>
  <c r="DR60" i="22"/>
  <c r="DN60" i="22"/>
  <c r="DM60" i="22"/>
  <c r="CX60" i="22"/>
  <c r="DX60" i="22" s="1"/>
  <c r="BD60" i="22"/>
  <c r="Y60" i="22" s="1"/>
  <c r="T60" i="22"/>
  <c r="R60" i="22"/>
  <c r="CW60" i="22" s="1"/>
  <c r="P60" i="22"/>
  <c r="CV60" i="22" s="1"/>
  <c r="M60" i="22"/>
  <c r="X60" i="22" s="1"/>
  <c r="DT59" i="22"/>
  <c r="DR59" i="22"/>
  <c r="DN59" i="22"/>
  <c r="DM59" i="22"/>
  <c r="CX59" i="22"/>
  <c r="AS59" i="22"/>
  <c r="T59" i="22"/>
  <c r="R59" i="22"/>
  <c r="CW59" i="22" s="1"/>
  <c r="P59" i="22"/>
  <c r="CV59" i="22" s="1"/>
  <c r="M59" i="22"/>
  <c r="X59" i="22" s="1"/>
  <c r="DU58" i="22"/>
  <c r="DT58" i="22"/>
  <c r="DR58" i="22"/>
  <c r="DK58" i="22"/>
  <c r="DB58" i="22"/>
  <c r="AO58" i="22"/>
  <c r="V58" i="22"/>
  <c r="T58" i="22" s="1"/>
  <c r="R58" i="22"/>
  <c r="CW58" i="22" s="1"/>
  <c r="P58" i="22"/>
  <c r="M58" i="22"/>
  <c r="X58" i="22" s="1"/>
  <c r="I58" i="22"/>
  <c r="DT57" i="22"/>
  <c r="DR57" i="22"/>
  <c r="DN57" i="22"/>
  <c r="DM57" i="22"/>
  <c r="CX57" i="22"/>
  <c r="DX57" i="22" s="1"/>
  <c r="Y57" i="22"/>
  <c r="V57" i="22"/>
  <c r="T57" i="22" s="1"/>
  <c r="R57" i="22"/>
  <c r="CW57" i="22" s="1"/>
  <c r="P57" i="22"/>
  <c r="CV57" i="22" s="1"/>
  <c r="M57" i="22"/>
  <c r="X57" i="22" s="1"/>
  <c r="DT56" i="22"/>
  <c r="DR56" i="22"/>
  <c r="DN56" i="22"/>
  <c r="DM56" i="22"/>
  <c r="CX56" i="22"/>
  <c r="CZ56" i="22" s="1"/>
  <c r="BB56" i="22"/>
  <c r="Y56" i="22" s="1"/>
  <c r="T56" i="22"/>
  <c r="R56" i="22"/>
  <c r="CW56" i="22" s="1"/>
  <c r="P56" i="22"/>
  <c r="CV56" i="22" s="1"/>
  <c r="M56" i="22"/>
  <c r="DU55" i="22"/>
  <c r="DT55" i="22"/>
  <c r="DR55" i="22"/>
  <c r="DN55" i="22"/>
  <c r="DM55" i="22"/>
  <c r="CX55" i="22"/>
  <c r="Y55" i="22"/>
  <c r="T55" i="22"/>
  <c r="R55" i="22"/>
  <c r="CW55" i="22" s="1"/>
  <c r="P55" i="22"/>
  <c r="CV55" i="22" s="1"/>
  <c r="M55" i="22"/>
  <c r="I55" i="22"/>
  <c r="DX55" i="22" s="1"/>
  <c r="DT54" i="22"/>
  <c r="DR54" i="22"/>
  <c r="DN54" i="22"/>
  <c r="DM54" i="22"/>
  <c r="CX54" i="22"/>
  <c r="DX54" i="22" s="1"/>
  <c r="BC54" i="22"/>
  <c r="Y54" i="22" s="1"/>
  <c r="V54" i="22"/>
  <c r="T54" i="22" s="1"/>
  <c r="R54" i="22"/>
  <c r="CW54" i="22" s="1"/>
  <c r="P54" i="22"/>
  <c r="CV54" i="22" s="1"/>
  <c r="M54" i="22"/>
  <c r="X54" i="22" s="1"/>
  <c r="DT53" i="22"/>
  <c r="DR53" i="22"/>
  <c r="DN53" i="22"/>
  <c r="DM53" i="22"/>
  <c r="CX53" i="22"/>
  <c r="CV53" i="22"/>
  <c r="Y53" i="22"/>
  <c r="T53" i="22"/>
  <c r="R53" i="22"/>
  <c r="CW53" i="22" s="1"/>
  <c r="M53" i="22"/>
  <c r="X53" i="22" s="1"/>
  <c r="DU52" i="22"/>
  <c r="DT52" i="22"/>
  <c r="DR52" i="22"/>
  <c r="DN52" i="22"/>
  <c r="DM52" i="22"/>
  <c r="CX52" i="22"/>
  <c r="Y52" i="22"/>
  <c r="V52" i="22"/>
  <c r="T52" i="22" s="1"/>
  <c r="R52" i="22"/>
  <c r="CW52" i="22" s="1"/>
  <c r="P52" i="22"/>
  <c r="CV52" i="22" s="1"/>
  <c r="M52" i="22"/>
  <c r="X52" i="22" s="1"/>
  <c r="I52" i="22"/>
  <c r="DT51" i="22"/>
  <c r="DR51" i="22"/>
  <c r="DN51" i="22"/>
  <c r="DM51" i="22"/>
  <c r="CX51" i="22"/>
  <c r="BD51" i="22"/>
  <c r="Y51" i="22" s="1"/>
  <c r="T51" i="22"/>
  <c r="R51" i="22"/>
  <c r="CW51" i="22" s="1"/>
  <c r="P51" i="22"/>
  <c r="CV51" i="22" s="1"/>
  <c r="M51" i="22"/>
  <c r="X51" i="22" s="1"/>
  <c r="DU50" i="22"/>
  <c r="DT50" i="22"/>
  <c r="DR50" i="22"/>
  <c r="DN50" i="22"/>
  <c r="DM50" i="22"/>
  <c r="CX50" i="22"/>
  <c r="Y50" i="22"/>
  <c r="T50" i="22"/>
  <c r="R50" i="22"/>
  <c r="CW50" i="22" s="1"/>
  <c r="P50" i="22"/>
  <c r="CV50" i="22" s="1"/>
  <c r="M50" i="22"/>
  <c r="X50" i="22" s="1"/>
  <c r="I50" i="22"/>
  <c r="DT49" i="22"/>
  <c r="DR49" i="22"/>
  <c r="DN49" i="22"/>
  <c r="DM49" i="22"/>
  <c r="CX49" i="22"/>
  <c r="CZ49" i="22" s="1"/>
  <c r="Y49" i="22"/>
  <c r="T49" i="22"/>
  <c r="R49" i="22"/>
  <c r="CW49" i="22" s="1"/>
  <c r="P49" i="22"/>
  <c r="CV49" i="22" s="1"/>
  <c r="M49" i="22"/>
  <c r="DT48" i="22"/>
  <c r="DR48" i="22"/>
  <c r="DN48" i="22"/>
  <c r="DM48" i="22"/>
  <c r="CX48" i="22"/>
  <c r="CZ48" i="22" s="1"/>
  <c r="Y48" i="22"/>
  <c r="T48" i="22"/>
  <c r="R48" i="22"/>
  <c r="CW48" i="22" s="1"/>
  <c r="P48" i="22"/>
  <c r="CV48" i="22" s="1"/>
  <c r="M48" i="22"/>
  <c r="X48" i="22" s="1"/>
  <c r="DT47" i="22"/>
  <c r="DR47" i="22"/>
  <c r="DN47" i="22"/>
  <c r="DM47" i="22"/>
  <c r="CX47" i="22"/>
  <c r="DX47" i="22" s="1"/>
  <c r="BD47" i="22"/>
  <c r="BB47" i="22"/>
  <c r="T47" i="22"/>
  <c r="R47" i="22"/>
  <c r="CW47" i="22" s="1"/>
  <c r="P47" i="22"/>
  <c r="CV47" i="22" s="1"/>
  <c r="M47" i="22"/>
  <c r="X47" i="22" s="1"/>
  <c r="DT46" i="22"/>
  <c r="DR46" i="22"/>
  <c r="DN46" i="22"/>
  <c r="DM46" i="22"/>
  <c r="CX46" i="22"/>
  <c r="Y46" i="22"/>
  <c r="T46" i="22"/>
  <c r="R46" i="22"/>
  <c r="CW46" i="22" s="1"/>
  <c r="P46" i="22"/>
  <c r="CV46" i="22" s="1"/>
  <c r="M46" i="22"/>
  <c r="X46" i="22" s="1"/>
  <c r="DT45" i="22"/>
  <c r="DR45" i="22"/>
  <c r="DN45" i="22"/>
  <c r="DM45" i="22"/>
  <c r="CX45" i="22"/>
  <c r="DX45" i="22" s="1"/>
  <c r="Y45" i="22"/>
  <c r="T45" i="22"/>
  <c r="R45" i="22"/>
  <c r="CW45" i="22" s="1"/>
  <c r="P45" i="22"/>
  <c r="CV45" i="22" s="1"/>
  <c r="M45" i="22"/>
  <c r="X45" i="22" s="1"/>
  <c r="DT44" i="22"/>
  <c r="DR44" i="22"/>
  <c r="DN44" i="22"/>
  <c r="DM44" i="22"/>
  <c r="CX44" i="22"/>
  <c r="DX44" i="22" s="1"/>
  <c r="Y44" i="22"/>
  <c r="T44" i="22"/>
  <c r="R44" i="22"/>
  <c r="CW44" i="22" s="1"/>
  <c r="P44" i="22"/>
  <c r="CV44" i="22" s="1"/>
  <c r="M44" i="22"/>
  <c r="DT43" i="22"/>
  <c r="DR43" i="22"/>
  <c r="DN43" i="22"/>
  <c r="DM43" i="22"/>
  <c r="CX43" i="22"/>
  <c r="CZ43" i="22" s="1"/>
  <c r="Y43" i="22"/>
  <c r="T43" i="22"/>
  <c r="R43" i="22"/>
  <c r="CW43" i="22" s="1"/>
  <c r="P43" i="22"/>
  <c r="CV43" i="22" s="1"/>
  <c r="M43" i="22"/>
  <c r="DU42" i="22"/>
  <c r="DT42" i="22"/>
  <c r="DR42" i="22"/>
  <c r="DN42" i="22"/>
  <c r="DM42" i="22"/>
  <c r="CX42" i="22"/>
  <c r="Y42" i="22"/>
  <c r="V42" i="22"/>
  <c r="T42" i="22" s="1"/>
  <c r="R42" i="22"/>
  <c r="CW42" i="22" s="1"/>
  <c r="P42" i="22"/>
  <c r="CV42" i="22" s="1"/>
  <c r="M42" i="22"/>
  <c r="X42" i="22" s="1"/>
  <c r="I42" i="22"/>
  <c r="DT41" i="22"/>
  <c r="DR41" i="22"/>
  <c r="DN41" i="22"/>
  <c r="DM41" i="22"/>
  <c r="CX41" i="22"/>
  <c r="DX41" i="22" s="1"/>
  <c r="Y41" i="22"/>
  <c r="T41" i="22"/>
  <c r="R41" i="22"/>
  <c r="CW41" i="22" s="1"/>
  <c r="P41" i="22"/>
  <c r="CV41" i="22" s="1"/>
  <c r="M41" i="22"/>
  <c r="X41" i="22" s="1"/>
  <c r="DT40" i="22"/>
  <c r="DR40" i="22"/>
  <c r="DN40" i="22"/>
  <c r="DM40" i="22"/>
  <c r="CX40" i="22"/>
  <c r="DX40" i="22" s="1"/>
  <c r="Y40" i="22"/>
  <c r="T40" i="22"/>
  <c r="R40" i="22"/>
  <c r="CW40" i="22" s="1"/>
  <c r="P40" i="22"/>
  <c r="CV40" i="22" s="1"/>
  <c r="M40" i="22"/>
  <c r="X40" i="22" s="1"/>
  <c r="DU39" i="22"/>
  <c r="DT39" i="22"/>
  <c r="DR39" i="22"/>
  <c r="DN39" i="22"/>
  <c r="DM39" i="22"/>
  <c r="DB39" i="22"/>
  <c r="CX39" i="22"/>
  <c r="Y39" i="22"/>
  <c r="T39" i="22"/>
  <c r="R39" i="22"/>
  <c r="CW39" i="22" s="1"/>
  <c r="P39" i="22"/>
  <c r="CV39" i="22" s="1"/>
  <c r="M39" i="22"/>
  <c r="X39" i="22" s="1"/>
  <c r="I39" i="22"/>
  <c r="DU38" i="22"/>
  <c r="DT38" i="22"/>
  <c r="DR38" i="22"/>
  <c r="DK38" i="22"/>
  <c r="BC38" i="22"/>
  <c r="Y38" i="22" s="1"/>
  <c r="T38" i="22"/>
  <c r="R38" i="22"/>
  <c r="CW38" i="22" s="1"/>
  <c r="P38" i="22"/>
  <c r="CV38" i="22" s="1"/>
  <c r="M38" i="22"/>
  <c r="X38" i="22" s="1"/>
  <c r="I38" i="22"/>
  <c r="DU37" i="22"/>
  <c r="DT37" i="22"/>
  <c r="DR37" i="22"/>
  <c r="DN37" i="22"/>
  <c r="DM37" i="22"/>
  <c r="CX37" i="22"/>
  <c r="Y37" i="22"/>
  <c r="V37" i="22"/>
  <c r="T37" i="22" s="1"/>
  <c r="R37" i="22"/>
  <c r="CW37" i="22" s="1"/>
  <c r="P37" i="22"/>
  <c r="CV37" i="22" s="1"/>
  <c r="M37" i="22"/>
  <c r="I37" i="22"/>
  <c r="DT36" i="22"/>
  <c r="DR36" i="22"/>
  <c r="DN36" i="22"/>
  <c r="DM36" i="22"/>
  <c r="CX36" i="22"/>
  <c r="CZ36" i="22" s="1"/>
  <c r="BD36" i="22"/>
  <c r="Y36" i="22" s="1"/>
  <c r="T36" i="22"/>
  <c r="R36" i="22"/>
  <c r="CW36" i="22" s="1"/>
  <c r="P36" i="22"/>
  <c r="CV36" i="22" s="1"/>
  <c r="M36" i="22"/>
  <c r="DU35" i="22"/>
  <c r="DT35" i="22"/>
  <c r="DR35" i="22"/>
  <c r="DN35" i="22"/>
  <c r="DM35" i="22"/>
  <c r="CX35" i="22"/>
  <c r="Y35" i="22"/>
  <c r="T35" i="22"/>
  <c r="R35" i="22"/>
  <c r="CW35" i="22" s="1"/>
  <c r="P35" i="22"/>
  <c r="CV35" i="22" s="1"/>
  <c r="M35" i="22"/>
  <c r="X35" i="22" s="1"/>
  <c r="I35" i="22"/>
  <c r="DU34" i="22"/>
  <c r="DT34" i="22"/>
  <c r="DR34" i="22"/>
  <c r="DN34" i="22"/>
  <c r="DM34" i="22"/>
  <c r="CX34" i="22"/>
  <c r="Y34" i="22"/>
  <c r="T34" i="22"/>
  <c r="R34" i="22"/>
  <c r="CW34" i="22" s="1"/>
  <c r="P34" i="22"/>
  <c r="CV34" i="22" s="1"/>
  <c r="M34" i="22"/>
  <c r="X34" i="22" s="1"/>
  <c r="I34" i="22"/>
  <c r="DU33" i="22"/>
  <c r="DT33" i="22"/>
  <c r="DR33" i="22"/>
  <c r="DN33" i="22"/>
  <c r="DM33" i="22"/>
  <c r="CX33" i="22"/>
  <c r="Y33" i="22"/>
  <c r="T33" i="22"/>
  <c r="R33" i="22"/>
  <c r="CW33" i="22" s="1"/>
  <c r="P33" i="22"/>
  <c r="CV33" i="22" s="1"/>
  <c r="M33" i="22"/>
  <c r="I33" i="22"/>
  <c r="DU32" i="22"/>
  <c r="DT32" i="22"/>
  <c r="DR32" i="22"/>
  <c r="DN32" i="22"/>
  <c r="DM32" i="22"/>
  <c r="CX32" i="22"/>
  <c r="BD32" i="22"/>
  <c r="T32" i="22"/>
  <c r="R32" i="22"/>
  <c r="CW32" i="22" s="1"/>
  <c r="P32" i="22"/>
  <c r="CV32" i="22" s="1"/>
  <c r="M32" i="22"/>
  <c r="I32" i="22"/>
  <c r="DU31" i="22"/>
  <c r="DT31" i="22"/>
  <c r="DR31" i="22"/>
  <c r="DN31" i="22"/>
  <c r="DM31" i="22"/>
  <c r="CX31" i="22"/>
  <c r="Y31" i="22"/>
  <c r="T31" i="22"/>
  <c r="R31" i="22"/>
  <c r="CW31" i="22" s="1"/>
  <c r="P31" i="22"/>
  <c r="CV31" i="22" s="1"/>
  <c r="M31" i="22"/>
  <c r="X31" i="22" s="1"/>
  <c r="I31" i="22"/>
  <c r="DU30" i="22"/>
  <c r="DT30" i="22"/>
  <c r="DR30" i="22"/>
  <c r="DN30" i="22"/>
  <c r="DM30" i="22"/>
  <c r="CX30" i="22"/>
  <c r="Y30" i="22"/>
  <c r="T30" i="22"/>
  <c r="R30" i="22"/>
  <c r="CW30" i="22" s="1"/>
  <c r="P30" i="22"/>
  <c r="CV30" i="22" s="1"/>
  <c r="M30" i="22"/>
  <c r="I30" i="22"/>
  <c r="DU29" i="22"/>
  <c r="DT29" i="22"/>
  <c r="DR29" i="22"/>
  <c r="DN29" i="22"/>
  <c r="DM29" i="22"/>
  <c r="CX29" i="22"/>
  <c r="Y29" i="22"/>
  <c r="T29" i="22"/>
  <c r="R29" i="22"/>
  <c r="CW29" i="22" s="1"/>
  <c r="P29" i="22"/>
  <c r="CV29" i="22" s="1"/>
  <c r="M29" i="22"/>
  <c r="X29" i="22" s="1"/>
  <c r="I29" i="22"/>
  <c r="DU28" i="22"/>
  <c r="DT28" i="22"/>
  <c r="DR28" i="22"/>
  <c r="DN28" i="22"/>
  <c r="DM28" i="22"/>
  <c r="CX28" i="22"/>
  <c r="CV28" i="22"/>
  <c r="Y28" i="22"/>
  <c r="T28" i="22"/>
  <c r="R28" i="22"/>
  <c r="CW28" i="22" s="1"/>
  <c r="M28" i="22"/>
  <c r="X28" i="22" s="1"/>
  <c r="I28" i="22"/>
  <c r="DU27" i="22"/>
  <c r="DT27" i="22"/>
  <c r="DR27" i="22"/>
  <c r="DN27" i="22"/>
  <c r="DM27" i="22"/>
  <c r="CX27" i="22"/>
  <c r="Y27" i="22"/>
  <c r="T27" i="22"/>
  <c r="R27" i="22"/>
  <c r="CW27" i="22" s="1"/>
  <c r="P27" i="22"/>
  <c r="CV27" i="22" s="1"/>
  <c r="M27" i="22"/>
  <c r="I27" i="22"/>
  <c r="DX27" i="22" s="1"/>
  <c r="DT26" i="22"/>
  <c r="DR26" i="22"/>
  <c r="DN26" i="22"/>
  <c r="DM26" i="22"/>
  <c r="DB26" i="22"/>
  <c r="CX26" i="22"/>
  <c r="DX26" i="22" s="1"/>
  <c r="Y26" i="22"/>
  <c r="V26" i="22"/>
  <c r="T26" i="22" s="1"/>
  <c r="R26" i="22"/>
  <c r="CW26" i="22" s="1"/>
  <c r="P26" i="22"/>
  <c r="CV26" i="22" s="1"/>
  <c r="M26" i="22"/>
  <c r="X26" i="22" s="1"/>
  <c r="DU25" i="22"/>
  <c r="DT25" i="22"/>
  <c r="DR25" i="22"/>
  <c r="DN25" i="22"/>
  <c r="DM25" i="22"/>
  <c r="DB25" i="22"/>
  <c r="CX25" i="22"/>
  <c r="Y25" i="22"/>
  <c r="T25" i="22"/>
  <c r="R25" i="22"/>
  <c r="CW25" i="22" s="1"/>
  <c r="P25" i="22"/>
  <c r="CV25" i="22" s="1"/>
  <c r="M25" i="22"/>
  <c r="X25" i="22" s="1"/>
  <c r="I25" i="22"/>
  <c r="DU24" i="22"/>
  <c r="DT24" i="22"/>
  <c r="DR24" i="22"/>
  <c r="DK24" i="22"/>
  <c r="DG24" i="22"/>
  <c r="DB24" i="22"/>
  <c r="BD24" i="22"/>
  <c r="Y24" i="22" s="1"/>
  <c r="T24" i="22"/>
  <c r="S24" i="22"/>
  <c r="R24" i="22" s="1"/>
  <c r="CW24" i="22" s="1"/>
  <c r="P24" i="22"/>
  <c r="CV24" i="22" s="1"/>
  <c r="M24" i="22"/>
  <c r="I24" i="22"/>
  <c r="DU23" i="22"/>
  <c r="DT23" i="22"/>
  <c r="DR23" i="22"/>
  <c r="DK23" i="22"/>
  <c r="DB23" i="22"/>
  <c r="Y23" i="22"/>
  <c r="V23" i="22"/>
  <c r="T23" i="22" s="1"/>
  <c r="S23" i="22"/>
  <c r="R23" i="22" s="1"/>
  <c r="CW23" i="22" s="1"/>
  <c r="Q23" i="22"/>
  <c r="M23" i="22"/>
  <c r="I23" i="22"/>
  <c r="DU22" i="22"/>
  <c r="DT22" i="22"/>
  <c r="DR22" i="22"/>
  <c r="DN22" i="22"/>
  <c r="DM22" i="22"/>
  <c r="DG22" i="22"/>
  <c r="CX22" i="22"/>
  <c r="CV22" i="22"/>
  <c r="AN22" i="22"/>
  <c r="V22" i="22"/>
  <c r="T22" i="22" s="1"/>
  <c r="R22" i="22"/>
  <c r="CW22" i="22" s="1"/>
  <c r="M22" i="22"/>
  <c r="I22" i="22"/>
  <c r="DT21" i="22"/>
  <c r="DR21" i="22"/>
  <c r="DN21" i="22"/>
  <c r="DM21" i="22"/>
  <c r="CX21" i="22"/>
  <c r="DX21" i="22" s="1"/>
  <c r="Y21" i="22"/>
  <c r="T21" i="22"/>
  <c r="R21" i="22"/>
  <c r="CW21" i="22" s="1"/>
  <c r="P21" i="22"/>
  <c r="CV21" i="22" s="1"/>
  <c r="M21" i="22"/>
  <c r="DU20" i="22"/>
  <c r="DT20" i="22"/>
  <c r="DR20" i="22"/>
  <c r="DN20" i="22"/>
  <c r="DM20" i="22"/>
  <c r="CX20" i="22"/>
  <c r="CW20" i="22"/>
  <c r="CV20" i="22"/>
  <c r="Y20" i="22"/>
  <c r="T20" i="22"/>
  <c r="M20" i="22"/>
  <c r="X20" i="22" s="1"/>
  <c r="I20" i="22"/>
  <c r="DU19" i="22"/>
  <c r="DT19" i="22"/>
  <c r="DR19" i="22"/>
  <c r="DN19" i="22"/>
  <c r="DM19" i="22"/>
  <c r="CX19" i="22"/>
  <c r="BD19" i="22"/>
  <c r="Y19" i="22" s="1"/>
  <c r="T19" i="22"/>
  <c r="R19" i="22"/>
  <c r="CW19" i="22" s="1"/>
  <c r="P19" i="22"/>
  <c r="CV19" i="22" s="1"/>
  <c r="M19" i="22"/>
  <c r="I19" i="22"/>
  <c r="DU18" i="22"/>
  <c r="DT18" i="22"/>
  <c r="DR18" i="22"/>
  <c r="DN18" i="22"/>
  <c r="DM18" i="22"/>
  <c r="DG18" i="22"/>
  <c r="CX18" i="22"/>
  <c r="Y18" i="22"/>
  <c r="T18" i="22"/>
  <c r="R18" i="22"/>
  <c r="CW18" i="22" s="1"/>
  <c r="P18" i="22"/>
  <c r="CV18" i="22" s="1"/>
  <c r="M18" i="22"/>
  <c r="I18" i="22"/>
  <c r="DT17" i="22"/>
  <c r="DR17" i="22"/>
  <c r="DN17" i="22"/>
  <c r="DM17" i="22"/>
  <c r="CX17" i="22"/>
  <c r="Y17" i="22"/>
  <c r="T17" i="22"/>
  <c r="R17" i="22"/>
  <c r="CW17" i="22" s="1"/>
  <c r="P17" i="22"/>
  <c r="CV17" i="22" s="1"/>
  <c r="M17" i="22"/>
  <c r="DU16" i="22"/>
  <c r="DT16" i="22"/>
  <c r="DR16" i="22"/>
  <c r="DN16" i="22"/>
  <c r="DM16" i="22"/>
  <c r="CX16" i="22"/>
  <c r="Y16" i="22"/>
  <c r="T16" i="22"/>
  <c r="R16" i="22"/>
  <c r="CW16" i="22" s="1"/>
  <c r="P16" i="22"/>
  <c r="CV16" i="22" s="1"/>
  <c r="M16" i="22"/>
  <c r="I16" i="22"/>
  <c r="DU15" i="22"/>
  <c r="DT15" i="22"/>
  <c r="DR15" i="22"/>
  <c r="DN15" i="22"/>
  <c r="DM15" i="22"/>
  <c r="CX15" i="22"/>
  <c r="Y15" i="22"/>
  <c r="T15" i="22"/>
  <c r="R15" i="22"/>
  <c r="CW15" i="22" s="1"/>
  <c r="P15" i="22"/>
  <c r="CV15" i="22" s="1"/>
  <c r="M15" i="22"/>
  <c r="X15" i="22" s="1"/>
  <c r="I15" i="22"/>
  <c r="DU14" i="22"/>
  <c r="DT14" i="22"/>
  <c r="DR14" i="22"/>
  <c r="DN14" i="22"/>
  <c r="DM14" i="22"/>
  <c r="DB14" i="22"/>
  <c r="CX14" i="22"/>
  <c r="Y14" i="22"/>
  <c r="T14" i="22"/>
  <c r="R14" i="22"/>
  <c r="CW14" i="22" s="1"/>
  <c r="P14" i="22"/>
  <c r="CV14" i="22" s="1"/>
  <c r="M14" i="22"/>
  <c r="X14" i="22" s="1"/>
  <c r="I14" i="22"/>
  <c r="DT13" i="22"/>
  <c r="DR13" i="22"/>
  <c r="DN13" i="22"/>
  <c r="DM13" i="22"/>
  <c r="DB13" i="22"/>
  <c r="CX13" i="22"/>
  <c r="CZ13" i="22" s="1"/>
  <c r="Y13" i="22"/>
  <c r="T13" i="22"/>
  <c r="R13" i="22"/>
  <c r="CW13" i="22" s="1"/>
  <c r="P13" i="22"/>
  <c r="CV13" i="22" s="1"/>
  <c r="M13" i="22"/>
  <c r="DU12" i="22"/>
  <c r="DT12" i="22"/>
  <c r="DR12" i="22"/>
  <c r="DN12" i="22"/>
  <c r="DM12" i="22"/>
  <c r="DB12" i="22"/>
  <c r="CX12" i="22"/>
  <c r="Y12" i="22"/>
  <c r="V12" i="22"/>
  <c r="T12" i="22" s="1"/>
  <c r="R12" i="22"/>
  <c r="CW12" i="22" s="1"/>
  <c r="P12" i="22"/>
  <c r="CV12" i="22" s="1"/>
  <c r="M12" i="22"/>
  <c r="X12" i="22" s="1"/>
  <c r="I12" i="22"/>
  <c r="DU11" i="22"/>
  <c r="DT11" i="22"/>
  <c r="DR11" i="22"/>
  <c r="DN11" i="22"/>
  <c r="DM11" i="22"/>
  <c r="DB11" i="22"/>
  <c r="CX11" i="22"/>
  <c r="BC11" i="22"/>
  <c r="V11" i="22"/>
  <c r="T11" i="22" s="1"/>
  <c r="R11" i="22"/>
  <c r="CW11" i="22" s="1"/>
  <c r="P11" i="22"/>
  <c r="CV11" i="22" s="1"/>
  <c r="M11" i="22"/>
  <c r="X11" i="22" s="1"/>
  <c r="I11" i="22"/>
  <c r="DU10" i="22"/>
  <c r="DT10" i="22"/>
  <c r="DR10" i="22"/>
  <c r="DN10" i="22"/>
  <c r="DM10" i="22"/>
  <c r="DB10" i="22"/>
  <c r="CX10" i="22"/>
  <c r="Y10" i="22"/>
  <c r="V10" i="22"/>
  <c r="T10" i="22" s="1"/>
  <c r="R10" i="22"/>
  <c r="CW10" i="22" s="1"/>
  <c r="P10" i="22"/>
  <c r="CV10" i="22" s="1"/>
  <c r="M10" i="22"/>
  <c r="X10" i="22" s="1"/>
  <c r="I10" i="22"/>
  <c r="DT9" i="22"/>
  <c r="DR9" i="22"/>
  <c r="DN9" i="22"/>
  <c r="DM9" i="22"/>
  <c r="DB9" i="22"/>
  <c r="CX9" i="22"/>
  <c r="DX9" i="22" s="1"/>
  <c r="CV9" i="22"/>
  <c r="Y9" i="22"/>
  <c r="V9" i="22"/>
  <c r="T9" i="22" s="1"/>
  <c r="R9" i="22"/>
  <c r="CW9" i="22" s="1"/>
  <c r="M9" i="22"/>
  <c r="DU8" i="22"/>
  <c r="DT8" i="22"/>
  <c r="DR8" i="22"/>
  <c r="DN8" i="22"/>
  <c r="DM8" i="22"/>
  <c r="DB8" i="22"/>
  <c r="CX8" i="22"/>
  <c r="Y8" i="22"/>
  <c r="V8" i="22"/>
  <c r="T8" i="22" s="1"/>
  <c r="R8" i="22"/>
  <c r="CW8" i="22" s="1"/>
  <c r="P8" i="22"/>
  <c r="CV8" i="22" s="1"/>
  <c r="M8" i="22"/>
  <c r="X8" i="22" s="1"/>
  <c r="I8" i="22"/>
  <c r="DT7" i="22"/>
  <c r="DR7" i="22"/>
  <c r="DM7" i="22"/>
  <c r="CX7" i="22"/>
  <c r="CZ7" i="22" s="1"/>
  <c r="Y7" i="22"/>
  <c r="T7" i="22"/>
  <c r="R7" i="22"/>
  <c r="CW7" i="22" s="1"/>
  <c r="P7" i="22"/>
  <c r="CV7" i="22" s="1"/>
  <c r="M7" i="22"/>
  <c r="CZ67" i="22" l="1"/>
  <c r="DX19" i="22"/>
  <c r="DX15" i="22"/>
  <c r="DW98" i="22"/>
  <c r="DX10" i="22"/>
  <c r="DX28" i="22"/>
  <c r="DX30" i="22"/>
  <c r="DX8" i="22"/>
  <c r="DX91" i="22"/>
  <c r="DX32" i="22"/>
  <c r="CZ63" i="22"/>
  <c r="CZ34" i="22"/>
  <c r="DX16" i="22"/>
  <c r="DX31" i="22"/>
  <c r="CZ18" i="22"/>
  <c r="CZ14" i="22"/>
  <c r="DX88" i="22"/>
  <c r="CX93" i="22"/>
  <c r="DX93" i="22" s="1"/>
  <c r="DX42" i="22"/>
  <c r="DW95" i="22"/>
  <c r="DM94" i="22"/>
  <c r="DX35" i="22"/>
  <c r="DX68" i="22"/>
  <c r="CZ11" i="22"/>
  <c r="CZ22" i="22"/>
  <c r="DT99" i="22"/>
  <c r="X24" i="22"/>
  <c r="Z98" i="22"/>
  <c r="DW97" i="22"/>
  <c r="CZ70" i="22"/>
  <c r="CX94" i="22"/>
  <c r="CZ94" i="22" s="1"/>
  <c r="DR99" i="22"/>
  <c r="DK99" i="22"/>
  <c r="DM24" i="22"/>
  <c r="DL24" i="22"/>
  <c r="DV58" i="22"/>
  <c r="DL58" i="22"/>
  <c r="DM79" i="22"/>
  <c r="DL79" i="22"/>
  <c r="DM85" i="22"/>
  <c r="DL85" i="22"/>
  <c r="DV87" i="22"/>
  <c r="DL87" i="22"/>
  <c r="DV23" i="22"/>
  <c r="DL23" i="22"/>
  <c r="DV38" i="22"/>
  <c r="DL38" i="22"/>
  <c r="DV81" i="22"/>
  <c r="DL81" i="22"/>
  <c r="DV86" i="22"/>
  <c r="DL86" i="22"/>
  <c r="W9" i="22"/>
  <c r="DP9" i="22" s="1"/>
  <c r="CX24" i="22"/>
  <c r="DX24" i="22" s="1"/>
  <c r="DW35" i="22"/>
  <c r="W36" i="22"/>
  <c r="DP36" i="22" s="1"/>
  <c r="DW36" i="22"/>
  <c r="DW49" i="22"/>
  <c r="DW61" i="22"/>
  <c r="DW26" i="22"/>
  <c r="Z28" i="22"/>
  <c r="Z29" i="22"/>
  <c r="DW29" i="22"/>
  <c r="Z30" i="22"/>
  <c r="W44" i="22"/>
  <c r="DP44" i="22" s="1"/>
  <c r="W17" i="22"/>
  <c r="DP17" i="22" s="1"/>
  <c r="Z20" i="22"/>
  <c r="Z41" i="22"/>
  <c r="Z46" i="22"/>
  <c r="Y47" i="22"/>
  <c r="CZ47" i="22"/>
  <c r="DW51" i="22"/>
  <c r="DW56" i="22"/>
  <c r="CZ57" i="22"/>
  <c r="DW57" i="22"/>
  <c r="CX58" i="22"/>
  <c r="CZ58" i="22" s="1"/>
  <c r="W71" i="22"/>
  <c r="DP71" i="22" s="1"/>
  <c r="CZ71" i="22"/>
  <c r="DW71" i="22"/>
  <c r="W74" i="22"/>
  <c r="DP74" i="22" s="1"/>
  <c r="W75" i="22"/>
  <c r="DP75" i="22" s="1"/>
  <c r="DW75" i="22"/>
  <c r="CZ78" i="22"/>
  <c r="DW78" i="22"/>
  <c r="W80" i="22"/>
  <c r="DP80" i="22" s="1"/>
  <c r="DN86" i="22"/>
  <c r="DW88" i="22"/>
  <c r="W89" i="22"/>
  <c r="DP89" i="22" s="1"/>
  <c r="Z91" i="22"/>
  <c r="CZ91" i="22"/>
  <c r="DW91" i="22"/>
  <c r="DX11" i="22"/>
  <c r="DX13" i="22"/>
  <c r="DX67" i="22"/>
  <c r="DX70" i="22"/>
  <c r="DU80" i="22"/>
  <c r="DV80" i="22"/>
  <c r="DU82" i="22"/>
  <c r="DV82" i="22"/>
  <c r="DU83" i="22"/>
  <c r="DV83" i="22"/>
  <c r="DM93" i="22"/>
  <c r="DV93" i="22"/>
  <c r="DW9" i="22"/>
  <c r="CZ12" i="22"/>
  <c r="W16" i="22"/>
  <c r="DP16" i="22" s="1"/>
  <c r="W19" i="22"/>
  <c r="DP19" i="22" s="1"/>
  <c r="CZ19" i="22"/>
  <c r="DW19" i="22"/>
  <c r="DX20" i="22"/>
  <c r="W20" i="22"/>
  <c r="DP20" i="22" s="1"/>
  <c r="DW21" i="22"/>
  <c r="X23" i="22"/>
  <c r="DN24" i="22"/>
  <c r="DV24" i="22"/>
  <c r="Z25" i="22"/>
  <c r="W27" i="22"/>
  <c r="DP27" i="22" s="1"/>
  <c r="W32" i="22"/>
  <c r="DP32" i="22" s="1"/>
  <c r="W33" i="22"/>
  <c r="DP33" i="22" s="1"/>
  <c r="Z36" i="22"/>
  <c r="CZ40" i="22"/>
  <c r="DW40" i="22"/>
  <c r="CZ42" i="22"/>
  <c r="DW42" i="22"/>
  <c r="DW43" i="22"/>
  <c r="Z44" i="22"/>
  <c r="CZ44" i="22"/>
  <c r="CZ45" i="22"/>
  <c r="Z48" i="22"/>
  <c r="DX48" i="22"/>
  <c r="DW53" i="22"/>
  <c r="DM58" i="22"/>
  <c r="Z62" i="22"/>
  <c r="DX63" i="22"/>
  <c r="Z64" i="22"/>
  <c r="DW64" i="22"/>
  <c r="DX65" i="22"/>
  <c r="DW68" i="22"/>
  <c r="DX69" i="22"/>
  <c r="Z69" i="22"/>
  <c r="DW74" i="22"/>
  <c r="Z76" i="22"/>
  <c r="W77" i="22"/>
  <c r="DP77" i="22" s="1"/>
  <c r="DU79" i="22"/>
  <c r="DV79" i="22"/>
  <c r="W85" i="22"/>
  <c r="DP85" i="22" s="1"/>
  <c r="DN85" i="22"/>
  <c r="DV85" i="22"/>
  <c r="DX86" i="22"/>
  <c r="DW89" i="22"/>
  <c r="DX90" i="22"/>
  <c r="DW92" i="22"/>
  <c r="DN93" i="22"/>
  <c r="DU94" i="22"/>
  <c r="DV94" i="22"/>
  <c r="W95" i="22"/>
  <c r="DP95" i="22" s="1"/>
  <c r="X9" i="22"/>
  <c r="DW11" i="22"/>
  <c r="DX17" i="22"/>
  <c r="CZ17" i="22"/>
  <c r="CZ20" i="22"/>
  <c r="CZ25" i="22"/>
  <c r="DX25" i="22"/>
  <c r="DX53" i="22"/>
  <c r="CZ53" i="22"/>
  <c r="DW12" i="22"/>
  <c r="Z14" i="22"/>
  <c r="Z15" i="22"/>
  <c r="X16" i="22"/>
  <c r="Z17" i="22"/>
  <c r="Z18" i="22"/>
  <c r="DX18" i="22"/>
  <c r="X19" i="22"/>
  <c r="Z21" i="22"/>
  <c r="CZ46" i="22"/>
  <c r="DX46" i="22"/>
  <c r="DX51" i="22"/>
  <c r="CZ51" i="22"/>
  <c r="DW67" i="22"/>
  <c r="DW70" i="22"/>
  <c r="CV85" i="22"/>
  <c r="Z85" i="22" s="1"/>
  <c r="DW7" i="22"/>
  <c r="DW8" i="22"/>
  <c r="DW10" i="22"/>
  <c r="W13" i="22"/>
  <c r="DP13" i="22" s="1"/>
  <c r="Z13" i="22"/>
  <c r="DW13" i="22"/>
  <c r="DX14" i="22"/>
  <c r="DW15" i="22"/>
  <c r="Z16" i="22"/>
  <c r="DW16" i="22"/>
  <c r="DW17" i="22"/>
  <c r="W18" i="22"/>
  <c r="DP18" i="22" s="1"/>
  <c r="X18" i="22"/>
  <c r="DW18" i="22"/>
  <c r="W21" i="22"/>
  <c r="DP21" i="22" s="1"/>
  <c r="X21" i="22"/>
  <c r="DW22" i="22"/>
  <c r="X27" i="22"/>
  <c r="DX29" i="22"/>
  <c r="DW31" i="22"/>
  <c r="X33" i="22"/>
  <c r="DX34" i="22"/>
  <c r="CZ35" i="22"/>
  <c r="X36" i="22"/>
  <c r="W37" i="22"/>
  <c r="DP37" i="22" s="1"/>
  <c r="X37" i="22"/>
  <c r="Z38" i="22"/>
  <c r="DW39" i="22"/>
  <c r="Z50" i="22"/>
  <c r="Z53" i="22"/>
  <c r="DW60" i="22"/>
  <c r="DW62" i="22"/>
  <c r="CZ81" i="22"/>
  <c r="DX81" i="22"/>
  <c r="DU81" i="22"/>
  <c r="DM81" i="22"/>
  <c r="DN81" i="22"/>
  <c r="W91" i="22"/>
  <c r="DP91" i="22" s="1"/>
  <c r="X91" i="22"/>
  <c r="Z22" i="22"/>
  <c r="Z26" i="22"/>
  <c r="Z27" i="22"/>
  <c r="DW27" i="22"/>
  <c r="W28" i="22"/>
  <c r="DP28" i="22" s="1"/>
  <c r="W30" i="22"/>
  <c r="DP30" i="22" s="1"/>
  <c r="X30" i="22"/>
  <c r="DW30" i="22"/>
  <c r="DW32" i="22"/>
  <c r="Z33" i="22"/>
  <c r="CZ33" i="22"/>
  <c r="DW33" i="22"/>
  <c r="Z34" i="22"/>
  <c r="DW34" i="22"/>
  <c r="Z35" i="22"/>
  <c r="DW37" i="22"/>
  <c r="Z39" i="22"/>
  <c r="Z40" i="22"/>
  <c r="Z42" i="22"/>
  <c r="W43" i="22"/>
  <c r="DP43" i="22" s="1"/>
  <c r="X43" i="22"/>
  <c r="DX43" i="22"/>
  <c r="DW44" i="22"/>
  <c r="Z45" i="22"/>
  <c r="DW48" i="22"/>
  <c r="W49" i="22"/>
  <c r="DP49" i="22" s="1"/>
  <c r="X49" i="22"/>
  <c r="DX50" i="22"/>
  <c r="DW52" i="22"/>
  <c r="DX59" i="22"/>
  <c r="CZ59" i="22"/>
  <c r="DX64" i="22"/>
  <c r="CZ64" i="22"/>
  <c r="DW66" i="22"/>
  <c r="CZ69" i="22"/>
  <c r="DW69" i="22"/>
  <c r="X71" i="22"/>
  <c r="Z73" i="22"/>
  <c r="DX73" i="22"/>
  <c r="CZ73" i="22"/>
  <c r="Z74" i="22"/>
  <c r="Z77" i="22"/>
  <c r="X80" i="22"/>
  <c r="DX84" i="22"/>
  <c r="CZ84" i="22"/>
  <c r="Z84" i="22"/>
  <c r="DU86" i="22"/>
  <c r="DM86" i="22"/>
  <c r="X89" i="22"/>
  <c r="Z54" i="22"/>
  <c r="DW54" i="22"/>
  <c r="W55" i="22"/>
  <c r="DP55" i="22" s="1"/>
  <c r="W56" i="22"/>
  <c r="DP56" i="22" s="1"/>
  <c r="X56" i="22"/>
  <c r="W58" i="22"/>
  <c r="DP58" i="22" s="1"/>
  <c r="DW59" i="22"/>
  <c r="Z60" i="22"/>
  <c r="DW63" i="22"/>
  <c r="DX66" i="22"/>
  <c r="Z67" i="22"/>
  <c r="Z70" i="22"/>
  <c r="Z71" i="22"/>
  <c r="W73" i="22"/>
  <c r="DP73" i="22" s="1"/>
  <c r="X73" i="22"/>
  <c r="DW73" i="22"/>
  <c r="W76" i="22"/>
  <c r="DP76" i="22" s="1"/>
  <c r="X76" i="22"/>
  <c r="DW76" i="22"/>
  <c r="DX77" i="22"/>
  <c r="W79" i="22"/>
  <c r="DP79" i="22" s="1"/>
  <c r="Z80" i="22"/>
  <c r="Z83" i="22"/>
  <c r="DW84" i="22"/>
  <c r="CZ86" i="22"/>
  <c r="Z88" i="22"/>
  <c r="Z89" i="22"/>
  <c r="CZ90" i="22"/>
  <c r="Z92" i="22"/>
  <c r="W93" i="22"/>
  <c r="DP93" i="22" s="1"/>
  <c r="Z93" i="22"/>
  <c r="X93" i="22"/>
  <c r="DX95" i="22"/>
  <c r="CZ95" i="22"/>
  <c r="DW96" i="22"/>
  <c r="DX98" i="22"/>
  <c r="CZ98" i="22"/>
  <c r="Z8" i="22"/>
  <c r="Z9" i="22"/>
  <c r="Z10" i="22"/>
  <c r="Z12" i="22"/>
  <c r="Z24" i="22"/>
  <c r="W22" i="22"/>
  <c r="DP22" i="22" s="1"/>
  <c r="Z31" i="22"/>
  <c r="Z32" i="22"/>
  <c r="Z7" i="22"/>
  <c r="Z19" i="22"/>
  <c r="W7" i="22"/>
  <c r="CZ9" i="22"/>
  <c r="CZ10" i="22"/>
  <c r="Y11" i="22"/>
  <c r="W12" i="22"/>
  <c r="DP12" i="22" s="1"/>
  <c r="DX12" i="22"/>
  <c r="X13" i="22"/>
  <c r="DW14" i="22"/>
  <c r="CZ16" i="22"/>
  <c r="X17" i="22"/>
  <c r="DW20" i="22"/>
  <c r="CZ21" i="22"/>
  <c r="X22" i="22"/>
  <c r="DX22" i="22"/>
  <c r="DN23" i="22"/>
  <c r="W24" i="22"/>
  <c r="DP24" i="22" s="1"/>
  <c r="DW25" i="22"/>
  <c r="CZ27" i="22"/>
  <c r="DW28" i="22"/>
  <c r="CZ30" i="22"/>
  <c r="W31" i="22"/>
  <c r="DP31" i="22" s="1"/>
  <c r="X32" i="22"/>
  <c r="CX38" i="22"/>
  <c r="DX38" i="22" s="1"/>
  <c r="CZ41" i="22"/>
  <c r="DW41" i="22"/>
  <c r="X44" i="22"/>
  <c r="Z47" i="22"/>
  <c r="DX49" i="22"/>
  <c r="W50" i="22"/>
  <c r="DP50" i="22" s="1"/>
  <c r="DX52" i="22"/>
  <c r="CZ52" i="22"/>
  <c r="Z61" i="22"/>
  <c r="DX7" i="22"/>
  <c r="CZ8" i="22"/>
  <c r="W10" i="22"/>
  <c r="DP10" i="22" s="1"/>
  <c r="Z11" i="22"/>
  <c r="CZ15" i="22"/>
  <c r="Y22" i="22"/>
  <c r="P23" i="22"/>
  <c r="CV23" i="22" s="1"/>
  <c r="Z23" i="22" s="1"/>
  <c r="CX23" i="22"/>
  <c r="CZ23" i="22" s="1"/>
  <c r="CZ26" i="22"/>
  <c r="CZ29" i="22"/>
  <c r="Y32" i="22"/>
  <c r="DX33" i="22"/>
  <c r="DX37" i="22"/>
  <c r="CZ37" i="22"/>
  <c r="W40" i="22"/>
  <c r="DP40" i="22" s="1"/>
  <c r="W42" i="22"/>
  <c r="DP42" i="22" s="1"/>
  <c r="DW46" i="22"/>
  <c r="W47" i="22"/>
  <c r="DP47" i="22" s="1"/>
  <c r="CZ50" i="22"/>
  <c r="DW50" i="22"/>
  <c r="W51" i="22"/>
  <c r="DP51" i="22" s="1"/>
  <c r="W52" i="22"/>
  <c r="DP52" i="22" s="1"/>
  <c r="Z57" i="22"/>
  <c r="Z63" i="22"/>
  <c r="W8" i="22"/>
  <c r="DP8" i="22" s="1"/>
  <c r="W11" i="22"/>
  <c r="DP11" i="22" s="1"/>
  <c r="W14" i="22"/>
  <c r="DP14" i="22" s="1"/>
  <c r="W15" i="22"/>
  <c r="DP15" i="22" s="1"/>
  <c r="W25" i="22"/>
  <c r="DP25" i="22" s="1"/>
  <c r="W26" i="22"/>
  <c r="DP26" i="22" s="1"/>
  <c r="CZ28" i="22"/>
  <c r="W29" i="22"/>
  <c r="DP29" i="22" s="1"/>
  <c r="W35" i="22"/>
  <c r="DP35" i="22" s="1"/>
  <c r="W45" i="22"/>
  <c r="DP45" i="22" s="1"/>
  <c r="Z52" i="22"/>
  <c r="Z55" i="22"/>
  <c r="Z56" i="22"/>
  <c r="DM23" i="22"/>
  <c r="CZ31" i="22"/>
  <c r="CZ32" i="22"/>
  <c r="Z37" i="22"/>
  <c r="DN38" i="22"/>
  <c r="DM38" i="22"/>
  <c r="DX39" i="22"/>
  <c r="CZ39" i="22"/>
  <c r="Z43" i="22"/>
  <c r="DW45" i="22"/>
  <c r="DW47" i="22"/>
  <c r="Z49" i="22"/>
  <c r="Z51" i="22"/>
  <c r="W34" i="22"/>
  <c r="DP34" i="22" s="1"/>
  <c r="DX36" i="22"/>
  <c r="W38" i="22"/>
  <c r="DP38" i="22" s="1"/>
  <c r="W39" i="22"/>
  <c r="DP39" i="22" s="1"/>
  <c r="W41" i="22"/>
  <c r="DP41" i="22" s="1"/>
  <c r="W46" i="22"/>
  <c r="DP46" i="22" s="1"/>
  <c r="W48" i="22"/>
  <c r="DP48" i="22" s="1"/>
  <c r="W54" i="22"/>
  <c r="DP54" i="22" s="1"/>
  <c r="CZ54" i="22"/>
  <c r="X55" i="22"/>
  <c r="DW55" i="22"/>
  <c r="DX56" i="22"/>
  <c r="W57" i="22"/>
  <c r="DP57" i="22" s="1"/>
  <c r="CV58" i="22"/>
  <c r="Z58" i="22" s="1"/>
  <c r="DN58" i="22"/>
  <c r="Y59" i="22"/>
  <c r="W60" i="22"/>
  <c r="DP60" i="22" s="1"/>
  <c r="CZ60" i="22"/>
  <c r="DX61" i="22"/>
  <c r="W62" i="22"/>
  <c r="DP62" i="22" s="1"/>
  <c r="W64" i="22"/>
  <c r="DP64" i="22" s="1"/>
  <c r="Z65" i="22"/>
  <c r="Z66" i="22"/>
  <c r="X70" i="22"/>
  <c r="W70" i="22"/>
  <c r="DP70" i="22" s="1"/>
  <c r="W72" i="22"/>
  <c r="DP72" i="22" s="1"/>
  <c r="DW72" i="22"/>
  <c r="Z79" i="22"/>
  <c r="Y58" i="22"/>
  <c r="Z59" i="22"/>
  <c r="W61" i="22"/>
  <c r="DP61" i="22" s="1"/>
  <c r="X62" i="22"/>
  <c r="DW65" i="22"/>
  <c r="W68" i="22"/>
  <c r="DP68" i="22" s="1"/>
  <c r="W69" i="22"/>
  <c r="DP69" i="22" s="1"/>
  <c r="Z81" i="22"/>
  <c r="W53" i="22"/>
  <c r="DP53" i="22" s="1"/>
  <c r="CZ55" i="22"/>
  <c r="W59" i="22"/>
  <c r="DP59" i="22" s="1"/>
  <c r="W63" i="22"/>
  <c r="DP63" i="22" s="1"/>
  <c r="W65" i="22"/>
  <c r="DP65" i="22" s="1"/>
  <c r="W66" i="22"/>
  <c r="DP66" i="22" s="1"/>
  <c r="W67" i="22"/>
  <c r="DP67" i="22" s="1"/>
  <c r="Z72" i="22"/>
  <c r="DX62" i="22"/>
  <c r="CZ62" i="22"/>
  <c r="Z68" i="22"/>
  <c r="CZ66" i="22"/>
  <c r="CZ72" i="22"/>
  <c r="X74" i="22"/>
  <c r="CW75" i="22"/>
  <c r="Z75" i="22" s="1"/>
  <c r="CZ76" i="22"/>
  <c r="X77" i="22"/>
  <c r="DW77" i="22"/>
  <c r="Z78" i="22"/>
  <c r="X79" i="22"/>
  <c r="DN79" i="22"/>
  <c r="CX80" i="22"/>
  <c r="Z82" i="22"/>
  <c r="CX82" i="22"/>
  <c r="CX83" i="22"/>
  <c r="W84" i="22"/>
  <c r="DP84" i="22" s="1"/>
  <c r="DX85" i="22"/>
  <c r="CZ89" i="22"/>
  <c r="Z90" i="22"/>
  <c r="W92" i="22"/>
  <c r="DP92" i="22" s="1"/>
  <c r="DX96" i="22"/>
  <c r="CZ96" i="22"/>
  <c r="W97" i="22"/>
  <c r="DP97" i="22" s="1"/>
  <c r="CW97" i="22"/>
  <c r="Z97" i="22" s="1"/>
  <c r="DX74" i="22"/>
  <c r="DX75" i="22"/>
  <c r="W78" i="22"/>
  <c r="DP78" i="22" s="1"/>
  <c r="W81" i="22"/>
  <c r="DP81" i="22" s="1"/>
  <c r="W82" i="22"/>
  <c r="DP82" i="22" s="1"/>
  <c r="Z86" i="22"/>
  <c r="W87" i="22"/>
  <c r="DP87" i="22" s="1"/>
  <c r="DM87" i="22"/>
  <c r="CX87" i="22"/>
  <c r="CZ87" i="22" s="1"/>
  <c r="DU87" i="22"/>
  <c r="W94" i="22"/>
  <c r="DP94" i="22" s="1"/>
  <c r="CZ68" i="22"/>
  <c r="CZ77" i="22"/>
  <c r="CZ79" i="22"/>
  <c r="DM80" i="22"/>
  <c r="DM82" i="22"/>
  <c r="W83" i="22"/>
  <c r="DP83" i="22" s="1"/>
  <c r="DM83" i="22"/>
  <c r="DN87" i="22"/>
  <c r="W88" i="22"/>
  <c r="DP88" i="22" s="1"/>
  <c r="DX89" i="22"/>
  <c r="W90" i="22"/>
  <c r="DP90" i="22" s="1"/>
  <c r="DW90" i="22"/>
  <c r="X95" i="22"/>
  <c r="W96" i="22"/>
  <c r="DP96" i="22" s="1"/>
  <c r="DX97" i="22"/>
  <c r="DN80" i="22"/>
  <c r="DN82" i="22"/>
  <c r="DN83" i="22"/>
  <c r="W86" i="22"/>
  <c r="DP86" i="22" s="1"/>
  <c r="Z87" i="22"/>
  <c r="CZ88" i="22"/>
  <c r="DX92" i="22"/>
  <c r="CZ92" i="22"/>
  <c r="Z94" i="22"/>
  <c r="W98" i="22"/>
  <c r="DP98" i="22" s="1"/>
  <c r="DN94" i="22"/>
  <c r="Z96" i="22"/>
  <c r="CZ97" i="22"/>
  <c r="DX94" i="22" l="1"/>
  <c r="CZ93" i="22"/>
  <c r="CZ38" i="22"/>
  <c r="CZ24" i="22"/>
  <c r="W23" i="22"/>
  <c r="DP23" i="22" s="1"/>
  <c r="DW94" i="22"/>
  <c r="DM99" i="22"/>
  <c r="DN99" i="22"/>
  <c r="DV99" i="22"/>
  <c r="DU99" i="22"/>
  <c r="DW93" i="22"/>
  <c r="DW85" i="22"/>
  <c r="DW24" i="22"/>
  <c r="DW38" i="22"/>
  <c r="DW23" i="22"/>
  <c r="DX58" i="22"/>
  <c r="DW80" i="22"/>
  <c r="DW86" i="22"/>
  <c r="DW79" i="22"/>
  <c r="DW81" i="22"/>
  <c r="DX80" i="22"/>
  <c r="CZ80" i="22"/>
  <c r="DW82" i="22"/>
  <c r="DX82" i="22"/>
  <c r="CZ82" i="22"/>
  <c r="DW58" i="22"/>
  <c r="DX23" i="22"/>
  <c r="DW87" i="22"/>
  <c r="DX87" i="22"/>
  <c r="DP7" i="22"/>
  <c r="DW83" i="22"/>
  <c r="DX83" i="22"/>
  <c r="CZ83" i="22"/>
  <c r="DW99" i="22" l="1"/>
</calcChain>
</file>

<file path=xl/sharedStrings.xml><?xml version="1.0" encoding="utf-8"?>
<sst xmlns="http://schemas.openxmlformats.org/spreadsheetml/2006/main" count="2170" uniqueCount="547">
  <si>
    <t>STT</t>
  </si>
  <si>
    <t>Họ và tên  theo thống kê hiện trạng</t>
  </si>
  <si>
    <t>Loại đất</t>
  </si>
  <si>
    <t>Số thửa</t>
  </si>
  <si>
    <t>Tờ BĐ</t>
  </si>
  <si>
    <t xml:space="preserve">Diện tích hiện trạng thửa đất thu hồi </t>
  </si>
  <si>
    <t>Họ và tên theo số giao ruộng 652, 948</t>
  </si>
  <si>
    <t>Khẩu 652 (486,0m2/khẩu)</t>
  </si>
  <si>
    <t>Khẩu 948 (80,0m2/khẩu)</t>
  </si>
  <si>
    <t xml:space="preserve">Tổng diện tích đất nông nghiệp theo giao theo QĐ 652, QĐ 948 </t>
  </si>
  <si>
    <t xml:space="preserve">Diện tích chuyển nhượng </t>
  </si>
  <si>
    <t>Diện tích nhận chuyển nhượng</t>
  </si>
  <si>
    <t>Ao quy đổi</t>
  </si>
  <si>
    <t xml:space="preserve">Vườn quy đổi </t>
  </si>
  <si>
    <t>Tổng diện tích đất nông nghiệp hiện đang sử dụng</t>
  </si>
  <si>
    <t>Lúa sau khi từ quy đổi</t>
  </si>
  <si>
    <t>Tổng lúa giao ngoài đồng</t>
  </si>
  <si>
    <t>Tổng diện tích đất nông nghiệp được thực hiện đến TĐ dồn điền đổi thửa</t>
  </si>
  <si>
    <t>Diện tích giao của thửa đất thu hồi</t>
  </si>
  <si>
    <t>Giấy chứng nhận QSDĐ</t>
  </si>
  <si>
    <t>Diện tích còn lại</t>
  </si>
  <si>
    <t>TT SGR</t>
  </si>
  <si>
    <t>Địa chỉ thôn</t>
  </si>
  <si>
    <t>Diện tích (m2)</t>
  </si>
  <si>
    <t>Hệ số (1-4)</t>
  </si>
  <si>
    <t>Hệ số (1-2)</t>
  </si>
  <si>
    <t>Tổng diện tích</t>
  </si>
  <si>
    <t>XĐ Hậu Dốc</t>
  </si>
  <si>
    <t>XĐ Tây Fong 1</t>
  </si>
  <si>
    <t>XĐ NT5</t>
  </si>
  <si>
    <t>XĐ NT2</t>
  </si>
  <si>
    <t>XĐ NT1</t>
  </si>
  <si>
    <t>XĐ Đại Hiếu vùng 5</t>
  </si>
  <si>
    <t>XĐ Đại Hiếu vùng 4</t>
  </si>
  <si>
    <t>XĐ Đại Hiếu vùng 2</t>
  </si>
  <si>
    <t>XĐ Đại Hiếu vùng 1</t>
  </si>
  <si>
    <t xml:space="preserve">XĐ Hạ Tây vùng 6 </t>
  </si>
  <si>
    <t xml:space="preserve">XĐ Hạ Tây vùng 4 </t>
  </si>
  <si>
    <t>XĐ Hạ Tây vùng 2</t>
  </si>
  <si>
    <t>XĐ Thượng Tây vùng 1</t>
  </si>
  <si>
    <t>XĐ Thượng Tây vùng 2</t>
  </si>
  <si>
    <t>XĐ Thượng Tây vùng 3</t>
  </si>
  <si>
    <t xml:space="preserve">XĐ Thượng Tây vùng 4 </t>
  </si>
  <si>
    <t>XĐ Bồ nông vùng 6</t>
  </si>
  <si>
    <t>XĐ đồng Đò vùng 2</t>
  </si>
  <si>
    <t>XĐ Láng</t>
  </si>
  <si>
    <t>XĐ Tiền Lang Lập</t>
  </si>
  <si>
    <t>XĐ cửa ông Vui</t>
  </si>
  <si>
    <t>XĐ Tiền Đình</t>
  </si>
  <si>
    <t>XĐ Thượng Đông vùng 1</t>
  </si>
  <si>
    <t>XĐ Trại bèo</t>
  </si>
  <si>
    <t>XĐ Tiền Lang 1</t>
  </si>
  <si>
    <t>XĐ Tiền Lang 2</t>
  </si>
  <si>
    <t>XĐ đò 4</t>
  </si>
  <si>
    <t>XĐ Lập</t>
  </si>
  <si>
    <t>XĐ Ngàn</t>
  </si>
  <si>
    <t>XĐ Sân Kho</t>
  </si>
  <si>
    <t>XĐ cầu Trại</t>
  </si>
  <si>
    <t>XĐ Ao Phe</t>
  </si>
  <si>
    <t>XĐ Đò vùng 10</t>
  </si>
  <si>
    <t>XĐ Đò vùng 8</t>
  </si>
  <si>
    <t>XĐ Đò vùng 7</t>
  </si>
  <si>
    <t>XĐ Đò vùng 6</t>
  </si>
  <si>
    <t>XĐ Đò vùng 5</t>
  </si>
  <si>
    <t>XĐ Đò vùng 4</t>
  </si>
  <si>
    <t>XĐ Đò vùng 1</t>
  </si>
  <si>
    <t>XĐ Đoài Lang Đông Vùng 1</t>
  </si>
  <si>
    <t>XĐ Đoài Lang Đông Vùng 2</t>
  </si>
  <si>
    <t>XĐ Đoài Lang Đông Vùng 8</t>
  </si>
  <si>
    <t>XĐ Đoài Lang Tây Vùng 10</t>
  </si>
  <si>
    <t>XĐ Đoài Lang Tây Vùng 9</t>
  </si>
  <si>
    <t>XĐ Đoài Lang Tây Vùng 7</t>
  </si>
  <si>
    <t>XĐ Đoài Lang Tây Vùng 6</t>
  </si>
  <si>
    <t>XĐ Đoài Lang Tây Vùng 5</t>
  </si>
  <si>
    <t>XĐ Đoài Lang Tây Vùng 4</t>
  </si>
  <si>
    <t>XĐ Đoài Lang Tây Vùng 3</t>
  </si>
  <si>
    <t>XĐ Đoài Lang Tây Vùng 2</t>
  </si>
  <si>
    <t>XĐ Đoài Lang Tây Vùng 1</t>
  </si>
  <si>
    <t>Xứ Đồng Đò vùng 10</t>
  </si>
  <si>
    <t>Xứ Đồng Đò vùng 8</t>
  </si>
  <si>
    <t>Xứ Đồng Đò vùng 7</t>
  </si>
  <si>
    <t>Xứ Đồng Rộc</t>
  </si>
  <si>
    <t>Xứ Vườn Rộc</t>
  </si>
  <si>
    <t>XĐ Bồ nông vùng 7</t>
  </si>
  <si>
    <t>XĐ Bồ nông vùng 5</t>
  </si>
  <si>
    <t>XĐ Bồ nông vùng 2</t>
  </si>
  <si>
    <t>XĐ Bồ nông vùng 1</t>
  </si>
  <si>
    <t>XĐ Đồng Trạch Vùng 7</t>
  </si>
  <si>
    <t>XĐ Đồng Trạch Vùng 6</t>
  </si>
  <si>
    <t>XĐ Đồng Trạch Vùng 5</t>
  </si>
  <si>
    <t>XĐ Đồng Trạch Vùng 4</t>
  </si>
  <si>
    <t>XĐ Đồng Trạch Vùng 3</t>
  </si>
  <si>
    <t>XĐ Đồng Trạch Vùng 2</t>
  </si>
  <si>
    <t>XĐ Đồng Trạch Vùng 1</t>
  </si>
  <si>
    <t>XĐ phần trăm thổ</t>
  </si>
  <si>
    <t xml:space="preserve">Ao </t>
  </si>
  <si>
    <t>Vườn</t>
  </si>
  <si>
    <t>Họ và tên</t>
  </si>
  <si>
    <t>Số GCN</t>
  </si>
  <si>
    <t>Ngày tháng cấp GCN</t>
  </si>
  <si>
    <t xml:space="preserve">Diện tích </t>
  </si>
  <si>
    <t>26/4</t>
  </si>
  <si>
    <t>Trịnh Thị Vóc</t>
  </si>
  <si>
    <t>Thôn Thủ Chính, xã Nam Chính</t>
  </si>
  <si>
    <t>LUC</t>
  </si>
  <si>
    <t>VP 032273</t>
  </si>
  <si>
    <t>29/9/2023</t>
  </si>
  <si>
    <t>106/4</t>
  </si>
  <si>
    <t xml:space="preserve">Trần Văn Bình (chết), Vợ: Lương Thị Tâm </t>
  </si>
  <si>
    <t>Nam</t>
  </si>
  <si>
    <t xml:space="preserve"> Trần Văn Bình</t>
  </si>
  <si>
    <t>Lương Thị Tâm</t>
  </si>
  <si>
    <t>69/4</t>
  </si>
  <si>
    <t>Phạm Văn Ngôn, Mai Thị Thảo</t>
  </si>
  <si>
    <t>Phạm Văn Ngôn</t>
  </si>
  <si>
    <t>70/4</t>
  </si>
  <si>
    <t>Lương Thị Chức (chết), con: Lương Ngọc Đức</t>
  </si>
  <si>
    <t>Lương Văn Chức</t>
  </si>
  <si>
    <t>135/4</t>
  </si>
  <si>
    <t>Tạ Duy Phơn (chết), Con: Tạ Thị Chinh</t>
  </si>
  <si>
    <t>Tạ Duy Phơn</t>
  </si>
  <si>
    <t>Tạ Văn Phi, Tạ Thị Chinh, Tạ Văn Phú</t>
  </si>
  <si>
    <t>82/4</t>
  </si>
  <si>
    <t>Nguyễn Văn Vệ, Đỗ Thị Síu</t>
  </si>
  <si>
    <t>Nguyễn Văn Vệ</t>
  </si>
  <si>
    <t>128/4</t>
  </si>
  <si>
    <t>Tạ Anh Chiến, Tạ Việt Khoa, Tạ Thị Ngọc Anh, Tạ Thị Kiều Anh, Tạ Văn Phú, Tạ Thị Chinh, Trần Thị Liên, Trần Thị Thuỷ, Trần Thị Thu</t>
  </si>
  <si>
    <t>Hà Thị Đoán</t>
  </si>
  <si>
    <t>127/4</t>
  </si>
  <si>
    <t>Tạ Anh Chiến, Hoàng Thị Sen</t>
  </si>
  <si>
    <t>Tạ Văn Chiến</t>
  </si>
  <si>
    <t>109/4</t>
  </si>
  <si>
    <t>Nguyễn Thị Mân (chết), con: Nguyễn Mạnh Hiền</t>
  </si>
  <si>
    <t>Nguyễn Thị Mân</t>
  </si>
  <si>
    <t>Phạm Văn Tuân, Hà Thị Minh</t>
  </si>
  <si>
    <t>Phạm Văn Tuân</t>
  </si>
  <si>
    <t>CS 00518</t>
  </si>
  <si>
    <t>13/5/2015</t>
  </si>
  <si>
    <t>119/4</t>
  </si>
  <si>
    <t>Phạm Văn Đậu (chết), Con: Phạm Văn Thuấn</t>
  </si>
  <si>
    <t xml:space="preserve">Phạm Văn Đậu </t>
  </si>
  <si>
    <t>Tô Thị Thìn</t>
  </si>
  <si>
    <t>75/4</t>
  </si>
  <si>
    <t>Lê Thị Nhung</t>
  </si>
  <si>
    <t>CS 00470</t>
  </si>
  <si>
    <t>57/4</t>
  </si>
  <si>
    <t>Phạm Thị Sinh (chết), con: Phạm Thị Thục</t>
  </si>
  <si>
    <t xml:space="preserve"> Phạm Thị Sinh</t>
  </si>
  <si>
    <t>43/4</t>
  </si>
  <si>
    <t>Nguyễn Thị Khuy-chết. Con: Lê Thị Thủy</t>
  </si>
  <si>
    <t>Lê Thị Xương</t>
  </si>
  <si>
    <t>45/4</t>
  </si>
  <si>
    <t>Lê Thị Đào (chết) Cháu: Lê Văn Ngọc</t>
  </si>
  <si>
    <t>Nam - chưa XM được hàng thừa kế</t>
  </si>
  <si>
    <t>Lê Thị Ngải</t>
  </si>
  <si>
    <t>110/4</t>
  </si>
  <si>
    <t>Tô Văn Toản, Nguyễn Thị Nhung</t>
  </si>
  <si>
    <t>Tô Xuân Toản</t>
  </si>
  <si>
    <t>CH 01035</t>
  </si>
  <si>
    <t>25/8/2015</t>
  </si>
  <si>
    <t>25/4</t>
  </si>
  <si>
    <t>Tô Văn Thuý, Lê Thị Thân</t>
  </si>
  <si>
    <t>Tô Văn Thuý</t>
  </si>
  <si>
    <t>87/4</t>
  </si>
  <si>
    <t>Tô Thị Hoa (chết), con: Lê Văn Hóa</t>
  </si>
  <si>
    <t xml:space="preserve">Lê Thị Hiệu (Hoa) </t>
  </si>
  <si>
    <t>Lê Văn Hoá, Lê Thị Thơ</t>
  </si>
  <si>
    <t>CS 00868</t>
  </si>
  <si>
    <t>Lê Thị Hường, Lê Văn Hướng, Nguyễn Thị Thơm, Lê Văn Hóa</t>
  </si>
  <si>
    <t>100/4</t>
  </si>
  <si>
    <t>Nguyễn Thị Lan (Tuất)</t>
  </si>
  <si>
    <t>Nguyễn Thị Tuất</t>
  </si>
  <si>
    <t>Nguyễn Thị Lan</t>
  </si>
  <si>
    <t>107/4</t>
  </si>
  <si>
    <t xml:space="preserve">Tô Ngọc San-chết, vợ: Đoàn Thị Chiu, </t>
  </si>
  <si>
    <t>Tô Ngọc San</t>
  </si>
  <si>
    <t>76/4</t>
  </si>
  <si>
    <t>Tô Hùng Cường, Tạ Thúy Hiền</t>
  </si>
  <si>
    <t>Tô Văn Cường</t>
  </si>
  <si>
    <t>24/4</t>
  </si>
  <si>
    <t>Nguyễn Xuân Thanh, Lương Thị Hồng</t>
  </si>
  <si>
    <t>Nguyễn Văn Thanh</t>
  </si>
  <si>
    <t>31/4</t>
  </si>
  <si>
    <t xml:space="preserve">Tô Ngọc Trác, Trần Thị Cúc </t>
  </si>
  <si>
    <t>Tô Văn Trác</t>
  </si>
  <si>
    <t>Trần Thị Cúc, Tô Thị Hương, Tô Văn Tuấn, Tô Văn Tuân, Tô Thị Thanh Mai, Trần Văn Trung, Trần Văn Chiến, Trần Thị Hường</t>
  </si>
  <si>
    <t>144/4</t>
  </si>
  <si>
    <t>Lê Ngọc Bích</t>
  </si>
  <si>
    <t>Lê Văn Bích</t>
  </si>
  <si>
    <t>112/4</t>
  </si>
  <si>
    <t>Tạ Quang Thủy, Lê Thị Vân Anh</t>
  </si>
  <si>
    <t>Tạ Văn Thủy</t>
  </si>
  <si>
    <t>20/4</t>
  </si>
  <si>
    <t>Trần Thị Tắc (chết), Con Nguyễn Thị Na</t>
  </si>
  <si>
    <t>Nam-chưa xác định được người đại diện</t>
  </si>
  <si>
    <t>Trần Thị Tắc</t>
  </si>
  <si>
    <t>113/4</t>
  </si>
  <si>
    <t>Nguyễn Thị Liên  (chết), con: Nguyễn Ngọc Tiến</t>
  </si>
  <si>
    <t>Nguyễn Thị Oánh</t>
  </si>
  <si>
    <t>114/4</t>
  </si>
  <si>
    <t>Nguyễn Văn Tiến, Nguyễn Thị Như Loan</t>
  </si>
  <si>
    <t xml:space="preserve">Nam </t>
  </si>
  <si>
    <t>Nguyễn Thị Thư</t>
  </si>
  <si>
    <t>29/4</t>
  </si>
  <si>
    <t>Tô Văn Quyền, Trần Thị Mùi</t>
  </si>
  <si>
    <t>Tô Văn Quyền</t>
  </si>
  <si>
    <t>16/4</t>
  </si>
  <si>
    <t>Lê Văn Lục (chết), con: Lê Văn Nam</t>
  </si>
  <si>
    <t>Lê Văn Lục</t>
  </si>
  <si>
    <t>80/4</t>
  </si>
  <si>
    <t>Nguyễn Trung Thành, Lê Thị Huyền</t>
  </si>
  <si>
    <t>Nguyễn Trung Thành</t>
  </si>
  <si>
    <t>39/4</t>
  </si>
  <si>
    <t>Tô Ngọc Hạo (chết), con: Tô Thị Sim</t>
  </si>
  <si>
    <t>Tô Văn Hạo</t>
  </si>
  <si>
    <t>Tô Thị Sim, Tô Quốc Thỉnh, Tô Thị Kim Thoa, Trần Thị Điệp, Tô Thị Vân, Tô Thị Yên, Tô Thành Đạt, Lê Thị Bùi, Tô Duy Mạnh, Tô Ngọc Ánh</t>
  </si>
  <si>
    <t>147/4</t>
  </si>
  <si>
    <t>Nguyễn Văn Thạo, Trần Thị Ngoãn</t>
  </si>
  <si>
    <t>Nguyễn Văn Thạo</t>
  </si>
  <si>
    <t>103/4</t>
  </si>
  <si>
    <t xml:space="preserve">Nguyễn Thị Chanh </t>
  </si>
  <si>
    <t>104/4</t>
  </si>
  <si>
    <t>Nguyễn Văn Toàn (chết), vợ: Lương Thị Khuyên</t>
  </si>
  <si>
    <t>Nguyễn Văn Toàn</t>
  </si>
  <si>
    <t>Lương Thị Khuyên, Nguyễn Thị Thu Hằng, Nguyễn Hoàng An</t>
  </si>
  <si>
    <t>94/4</t>
  </si>
  <si>
    <t>Nguyễn Thị Viên (chết), con: Nguyễn Quốc Toản</t>
  </si>
  <si>
    <t>Nguyễn Thị Viên</t>
  </si>
  <si>
    <t>99/4</t>
  </si>
  <si>
    <t>Nguyễn Thị Thái (chết), cháu: Nguyễn Văn Giang</t>
  </si>
  <si>
    <t>Nguyễn Thị Thái</t>
  </si>
  <si>
    <t>68/4</t>
  </si>
  <si>
    <t>Phạm Thị Nguyệt (chết), con: Tô Văn Tùng</t>
  </si>
  <si>
    <t xml:space="preserve">Phạm Thị Nguyệt </t>
  </si>
  <si>
    <t>85/4</t>
  </si>
  <si>
    <t>Phạm Văn Cường, Phạm Thị Thơm</t>
  </si>
  <si>
    <t>Phạm Văn Cường</t>
  </si>
  <si>
    <t>23/4</t>
  </si>
  <si>
    <t>Phan Văn Dũng, Nguyễn Thị Thúy</t>
  </si>
  <si>
    <t>Phan Văn Dũng</t>
  </si>
  <si>
    <t>13/4</t>
  </si>
  <si>
    <t>Trần Văn Viễn, Lương Thị Yến</t>
  </si>
  <si>
    <t>Trần Văn Viễn</t>
  </si>
  <si>
    <t>71/4</t>
  </si>
  <si>
    <t>Phạm Thị Mến</t>
  </si>
  <si>
    <t>Phạm Thị Cận</t>
  </si>
  <si>
    <t>36/4</t>
  </si>
  <si>
    <t>Nguyễn Văn Loãn, Nguyễn Thị Bặt</t>
  </si>
  <si>
    <t>Nguyễn Văn Loãn</t>
  </si>
  <si>
    <t>77/4</t>
  </si>
  <si>
    <t>Nguyễn Thị Cơm (chết), con: Nguyễn Thị Hồng</t>
  </si>
  <si>
    <t>Nguyễn Thị Cơm</t>
  </si>
  <si>
    <t>134/4</t>
  </si>
  <si>
    <t>Trần Thị Cậy</t>
  </si>
  <si>
    <t>Lê Thị Cậy</t>
  </si>
  <si>
    <t>42/4</t>
  </si>
  <si>
    <t>Nguyễn Văn Lý</t>
  </si>
  <si>
    <t>66/4</t>
  </si>
  <si>
    <t>Phạm Thị Vinh-chết con: Phạm Văn Quỳnh</t>
  </si>
  <si>
    <t>Phạm Thị Vinh</t>
  </si>
  <si>
    <t>Phạm Xuân Quynh, Phạm Văn Quỳnh, Phạm Thanh Hoa, Phạm Ngọc Hinh</t>
  </si>
  <si>
    <t>124/4</t>
  </si>
  <si>
    <t>Tô Thị Rần</t>
  </si>
  <si>
    <t>Nguyễn Thị Bảo</t>
  </si>
  <si>
    <t>34/4</t>
  </si>
  <si>
    <t>Tô Văn Việt, Phạm Thị Hạnh</t>
  </si>
  <si>
    <t>Tô Văn Việt</t>
  </si>
  <si>
    <t>49/4</t>
  </si>
  <si>
    <t>Tô Văn Phúc</t>
  </si>
  <si>
    <t>73/4</t>
  </si>
  <si>
    <t>Vi Văn Tân (chết), vợ: Phạm Thị Thơm</t>
  </si>
  <si>
    <t xml:space="preserve">Vi Văn Tân </t>
  </si>
  <si>
    <t>105/4</t>
  </si>
  <si>
    <t>Vi Văn Bích, Chu Thị Xuyên</t>
  </si>
  <si>
    <t>Vi Văn Bích</t>
  </si>
  <si>
    <t>6/4</t>
  </si>
  <si>
    <t xml:space="preserve">Nguyễn Thị Oanh </t>
  </si>
  <si>
    <t>Lê Văn Thêm</t>
  </si>
  <si>
    <t>79/4</t>
  </si>
  <si>
    <t>Chu Văn Toàn (chết), con: Chu Văn Toan</t>
  </si>
  <si>
    <t>Chu Văn Toàn</t>
  </si>
  <si>
    <t>5/4</t>
  </si>
  <si>
    <t>Lê Thị Đất (chết), con dâu: Nguyễn Thị Oanh</t>
  </si>
  <si>
    <t>Lê Thị Đất</t>
  </si>
  <si>
    <t>131/4</t>
  </si>
  <si>
    <t>Lê Văn Đại (chết), con: Lê Thành Thượng</t>
  </si>
  <si>
    <t>Lê Văn Đại</t>
  </si>
  <si>
    <t>101/4</t>
  </si>
  <si>
    <t>Nguyễn Văn Tấu (chết), vợ: Lê Thị Nhuận, con Nguyễn Văn Giang</t>
  </si>
  <si>
    <t>Nguyễn Văn Tấu</t>
  </si>
  <si>
    <t>Lê Thị Nhuận</t>
  </si>
  <si>
    <t>4/4</t>
  </si>
  <si>
    <t>Tô Thị Dung</t>
  </si>
  <si>
    <t>54/4</t>
  </si>
  <si>
    <t>Phạm Văn Chính (chết), con: Phạm Quang Sự</t>
  </si>
  <si>
    <t>Phạm Văn Chính</t>
  </si>
  <si>
    <t>15/4</t>
  </si>
  <si>
    <t>Lê Văn Linh, Nguyễn Thị Hiên</t>
  </si>
  <si>
    <t>Lê Văn Linh</t>
  </si>
  <si>
    <t>139/4</t>
  </si>
  <si>
    <t>Phan Xuân Lộc, Bùi Thị Hường</t>
  </si>
  <si>
    <t>Phan Văn Lộc</t>
  </si>
  <si>
    <t>64/4</t>
  </si>
  <si>
    <t>Phạm Xuân Nguyện, Vi Thị Tuyết</t>
  </si>
  <si>
    <t>Phạm Văn Nguyện</t>
  </si>
  <si>
    <t>146/4</t>
  </si>
  <si>
    <t>Nguyễn Văn Chiêm (chết), vợ: Nguyễn Thị Hà</t>
  </si>
  <si>
    <t>Nguyễn Văn Chiêm</t>
  </si>
  <si>
    <t>116/4</t>
  </si>
  <si>
    <t>Tô Thị Lan (chết), con: Nguyễn Văn Định</t>
  </si>
  <si>
    <t>Nguyễn Thị Thi (Lan)</t>
  </si>
  <si>
    <t>55/4</t>
  </si>
  <si>
    <t>Nguyễn Xuân Tạc</t>
  </si>
  <si>
    <t>Nguyễn Văn Tạc</t>
  </si>
  <si>
    <t>61/4</t>
  </si>
  <si>
    <t>Phạm Văn Hoan (chết), con-Phạm Văn Cường</t>
  </si>
  <si>
    <t>Phạm Văn Hoan</t>
  </si>
  <si>
    <t>41/4</t>
  </si>
  <si>
    <t>Nguyễn Xuân Sơn-chết, vợ: Đinh Thị The</t>
  </si>
  <si>
    <t>Nguyễn The Sơn</t>
  </si>
  <si>
    <t>Đinh Thị The</t>
  </si>
  <si>
    <t>140/4</t>
  </si>
  <si>
    <t>Nguyễn Văn Minh, Đinh Thị Mai</t>
  </si>
  <si>
    <t>Nguyễn Văn Minh</t>
  </si>
  <si>
    <t>58/4</t>
  </si>
  <si>
    <t>Lê Thị Vân (chết), con: Lê Quang Thuân</t>
  </si>
  <si>
    <t>Lê Thị Vân</t>
  </si>
  <si>
    <t>33/4</t>
  </si>
  <si>
    <t>Tô Văn Hồ (chết), con: Tô Thị Tuyết</t>
  </si>
  <si>
    <t>Tô Văn Hồ</t>
  </si>
  <si>
    <t>93/4</t>
  </si>
  <si>
    <t>Nguyễn Văn Dư (chết), con: Nguyễn Đức Hà</t>
  </si>
  <si>
    <t>Nguyễn Văn Dư</t>
  </si>
  <si>
    <t>32/4</t>
  </si>
  <si>
    <t>Tô Văn Cương (chết), con: Tô Văn Quyền</t>
  </si>
  <si>
    <t>Tô Văn Cương</t>
  </si>
  <si>
    <t>141/4</t>
  </si>
  <si>
    <t>Đinh Thị Huê</t>
  </si>
  <si>
    <t>74/4</t>
  </si>
  <si>
    <t>Lê Văn Vui-chết, con: Lê Hồng Phong</t>
  </si>
  <si>
    <t>Lê Văn Vui</t>
  </si>
  <si>
    <t>Lê Hồng Phong, Lê Thị Phương Lan, Lê Thị Hoa, Lê Thị Hạnh</t>
  </si>
  <si>
    <t>30/4</t>
  </si>
  <si>
    <t>Tô Văn Tuân, Lại Thị Tâm</t>
  </si>
  <si>
    <t>Tô Văn Tuân</t>
  </si>
  <si>
    <t>65/4</t>
  </si>
  <si>
    <t>Trần Văn Truyền (chết), vợ: Phạm Thị Nga</t>
  </si>
  <si>
    <t>Trần Văn Truyền</t>
  </si>
  <si>
    <t>62/4</t>
  </si>
  <si>
    <t>Phạm Quang Trung (chết) vợ: Nguyễn Thị Loan</t>
  </si>
  <si>
    <t>Phạm Văn Chung</t>
  </si>
  <si>
    <t>Nguyễn Thị Loan, Phạm Hồng Quân, Phạm Thế Duyệt</t>
  </si>
  <si>
    <t>Nguyễn Thị Loan</t>
  </si>
  <si>
    <t>14/4</t>
  </si>
  <si>
    <t>Tô Quang Trung, Tô Thị Mận</t>
  </si>
  <si>
    <t>Tô Văn Trung</t>
  </si>
  <si>
    <t>44/4</t>
  </si>
  <si>
    <t>Lê Thị Kết (chêt), con: Lê Văn Mậu</t>
  </si>
  <si>
    <t>Lê Thị Kết</t>
  </si>
  <si>
    <t>40/4</t>
  </si>
  <si>
    <t>Tô Thành Thấn (chết), vợ: Lê Thị Bùi</t>
  </si>
  <si>
    <t>Tô Văn Thấn</t>
  </si>
  <si>
    <t>Lê Thị Bùi, Tô Duy Mạnh, Tô Ngọc Ánh</t>
  </si>
  <si>
    <t>137/4</t>
  </si>
  <si>
    <t>Phạm Sơn Dương, Tô Thị Thanh Mai</t>
  </si>
  <si>
    <t>Phạm Văn Dương</t>
  </si>
  <si>
    <t>10/4</t>
  </si>
  <si>
    <t>Trần Văn Hiếu (chết), vợ: Hà Thị Huệ</t>
  </si>
  <si>
    <t>Trần Văn Hiếu</t>
  </si>
  <si>
    <t>100/5</t>
  </si>
  <si>
    <t>Lê Văn Sơn, Tô Thị Rự</t>
  </si>
  <si>
    <t>Lê Văn Sơn</t>
  </si>
  <si>
    <t>70/5</t>
  </si>
  <si>
    <t>Nguyễn Văn Khang, Phạm Thị Sen</t>
  </si>
  <si>
    <t>Nguyễn Văn Khang</t>
  </si>
  <si>
    <t>40/5</t>
  </si>
  <si>
    <t>Tô Văn Tuyến (chết), con: Tô Văn Phương</t>
  </si>
  <si>
    <t>Tô Xuân Tuyến</t>
  </si>
  <si>
    <t>Tô Văn Phương, Tạ Thị Tuyết, Tô Văn Giang, Tô Văn Tuyền, Tô Trường Sơn</t>
  </si>
  <si>
    <t>128/5</t>
  </si>
  <si>
    <t>Lê Xuân Khoản, Phạm Thị Sáu</t>
  </si>
  <si>
    <t>CS 00799</t>
  </si>
  <si>
    <t>199/5</t>
  </si>
  <si>
    <t>Tô Văn Tuyền</t>
  </si>
  <si>
    <t>CS 00876</t>
  </si>
  <si>
    <t>28/5</t>
  </si>
  <si>
    <t>Lê Thị Luyến</t>
  </si>
  <si>
    <t>64/5</t>
  </si>
  <si>
    <t>Tô Đình Tháp (chết), con: Tô Duy Phương</t>
  </si>
  <si>
    <t>Tô Đình Tháp</t>
  </si>
  <si>
    <t>3/5</t>
  </si>
  <si>
    <t>Tô Văn Rự, Trần Thị Hảo</t>
  </si>
  <si>
    <t>Tô Văn Dự</t>
  </si>
  <si>
    <t>CH 01016</t>
  </si>
  <si>
    <t>107/5</t>
  </si>
  <si>
    <t>Trần Xuân Hiệu, Tô Thị Thu</t>
  </si>
  <si>
    <t>Trần Văn Hiệu</t>
  </si>
  <si>
    <t>Nguyễn Văn Chất, Trần Thị Hoài</t>
  </si>
  <si>
    <t>CS 00883</t>
  </si>
  <si>
    <t>72/5</t>
  </si>
  <si>
    <t>Nguyễn Thị Nhuận</t>
  </si>
  <si>
    <t>CS 00882</t>
  </si>
  <si>
    <t>Xứ đồng thu hồi</t>
  </si>
  <si>
    <t>Thượng Tây Vùng 1</t>
  </si>
  <si>
    <t>Thượng Tây Vùng 2</t>
  </si>
  <si>
    <t>Thượng Tây Vùng 3</t>
  </si>
  <si>
    <t>Hạ Tây Vùng 4; Thượng Tây Vùng 3</t>
  </si>
  <si>
    <t>120/4</t>
  </si>
  <si>
    <t>XĐ Bồ nông vùng 3, 4</t>
  </si>
  <si>
    <t>Lê Văn Khoản</t>
  </si>
  <si>
    <t>Lương Ngọc Hưng, Lương Thị Yến, Lương Thị Nhạn, Lương Ngọc Đức, Lương Ngọc Giáp</t>
  </si>
  <si>
    <t>Nguyễn Văn Vệ, Đỗ Thị Síu, Nguyễn Văn Tuấn, Nguyễn Văn Tú , Nguyễn Thế Long, Tô Thị Rần, Nguyễn Ngọc Phúc, Nguyễn Ngọc Vĩnh, Nguyễn Thị Yên</t>
  </si>
  <si>
    <t>Mai Thanh Hà, Tạ Thị Ngọc Anh, Tạ Anh Chiến, Tạ Thị Kiều Anh, Tạ Việt Khoa, Tạ Văn Phi, Tạ Thị Chinh, Tạ Văn Phú, Trần Thị Liên, Trần Thị Thu, Trần Thu Thuỷ</t>
  </si>
  <si>
    <t>Nguyễn Mạnh Hiển, Nguyễn Thị Thuỷ, Nguyễn Thị Nhuận, Nguyễn Trung Kiên, Nguyễn Tiến Dũng</t>
  </si>
  <si>
    <t>Phạm Thị Thục, Phạm Ngọc Thuần , Phạm Tuấn Khương, Phạm Thị Ninh, Phạm Thị Hà, Phạm Duy Phương</t>
  </si>
  <si>
    <t>Lê Thị Thuỷ, Nguyễn Văn Dũng,Lê Xuân Hoàng, Nguyễn Thị Nga, Lê Anh Cường, Lê Thị Khánh Ny</t>
  </si>
  <si>
    <t>Trần Thị Huề, Lê Văn Ngọc</t>
  </si>
  <si>
    <t xml:space="preserve">Tô Văn Thúy, Tô Văn Thắng, Tô Thị Thảo, Tô Thị Thiện, Tô Thị Thu, Bùi Thị Ngọt, Tô Văn Tường, Tô Thị Chang </t>
  </si>
  <si>
    <t>Đoàn Thị Chiu, Tô Thị Hương Giang,Tô Thị Phương, Tô Thị Nguyệt</t>
  </si>
  <si>
    <t xml:space="preserve">Lê Ngọc Bích, Lê Văn Tuấn, Lê Kim Trọng, Lê Văn Đức, </t>
  </si>
  <si>
    <t xml:space="preserve">Nguyễn Thuỳ Dung, Nguyễn Ngọc Dinh, Nguyễn Thị Nga, Nguyễn Văn Tiến, </t>
  </si>
  <si>
    <t>Lê Văn Nam, Phan Thị Đào, Lê Anh Đức, Lê Văn Linh, Lê Văn Nam, Trần Thị Cậy, Lê Thị Như Quỳnh, Lê Thị Lý</t>
  </si>
  <si>
    <t>Nguyễn Thị Chanh, Nguyễn Thị Chua, Tô Thị Thanh, Nguyễn Văn Thạo, Nguyễn Văn Hướng, Nguyễn Văn Thường, Phạm Thị Phương, Nguyễn Thị Mỹ Hà, Nguyễn Khánh Huyền, Nguyễn Phương Thảo</t>
  </si>
  <si>
    <t xml:space="preserve">Nguyễn Thị Xuyến, Nguyễn Đình Thi, Nguyễn Minh Thu, Nguyễn Thị Liên, Nguyễn Quốc Toản, Lương Thị Khuyên, Nguyễn Hoàng An, Nguyễn Thị Thu Hằng, </t>
  </si>
  <si>
    <t>Nguyễn Thị Lan, Nguyễn Văn Học, Nguyễn Văn Minh, Lê Thị Nhuận, Nguyễn Quang Việt, Nguyễn Văn Giang, Nguyễn Thị Liên, Nguyễn Đức Long, Phạm Thị Huyền, Phạm Văn Cường, Phạm Văn Kiên, Phạm Thị Duyên, Phạm Thị Thúy, Nguyễn Thị Loan, Phạm Hồng Quân, Phạm Thế Duyệt</t>
  </si>
  <si>
    <t xml:space="preserve">Tô Văn Tùng </t>
  </si>
  <si>
    <t>Nguyễn Thị Thúy, Nguyễn Hải Ngọc, Nguyễn Thị Hồng</t>
  </si>
  <si>
    <t>Nguyễn Văn Lý
Tô Thị Lý</t>
  </si>
  <si>
    <t>Tô Thị Rần, Nguyễn Ngọc Phúc, Nguyễn Ngọc Vĩnh, Vũ Thị Hoa, Nguyễn Lâm Anh, Nguyễn Thị Yên, Nguyễn Thị Ngọt</t>
  </si>
  <si>
    <t xml:space="preserve">Phạm Thị Thơm, Vi Văn Năm, Vi Thị Chắt, Vi Văn Bích, Vi Văn Thảo, </t>
  </si>
  <si>
    <t xml:space="preserve">Nguyễn Thị Oanh, Lê Thị Tâm, Lê Văn Tú, Lê Văn Tuấn, </t>
  </si>
  <si>
    <t>Chu Văn Toan, Chu Thị Lan</t>
  </si>
  <si>
    <t>Lê Thị Vân, Lê Thị Hằng, Lê Thị Mai, Lê Thành Thượng</t>
  </si>
  <si>
    <t>Phạm Thị Toan, Phạm Quang Sự, Phạm Thị Nhung, Phạm Thị Toan, Phạm Ngọc Phi, Nguyễn Thị Minh Huệ, Phạm Thị Nhường, Phạm Thị Hạnh, Phạm Văn Thành, Phạm Thị Thoa, Vũ Hồng Ca, Vũ Xuân Hạnh, Vũ Thanh Bình, Chu Văn Toan, Chu Văn Toán, Chu Văn An, Chu Thị Thu, Chu Thị Hà</t>
  </si>
  <si>
    <t xml:space="preserve">Nguyễn Thị Hà, Nguyễn Đức Anh, Nguyễn Thị Thu Hương, </t>
  </si>
  <si>
    <t xml:space="preserve"> Phạm Thị Duyên, Phạm Thị Thúy, Phạm Thị Huyền, Phạm Văn Cường, Phạm Văn Kiên, Nguyễn Thị Loan, Phạm Hồng Quân, Phạm Thế Duyệt </t>
  </si>
  <si>
    <t>Lê Thị Thu, Lê Quang Thuân</t>
  </si>
  <si>
    <t>Nguyễn Đức Hà, Nguyễn Văn Linh, Nguyễn Văn Dự, Nguyễn Văn Việt, Nguyễn Thị Hà, Nguyễn Đức Anh, Nguyễn Thị Thu Hương</t>
  </si>
  <si>
    <t>Tô Thị Thơm, Tô Văn Bình, Tô Văn Quyền</t>
  </si>
  <si>
    <t xml:space="preserve">Phạm Thị Nga, Trần Đức Vượng, Trần Thanh Tùng </t>
  </si>
  <si>
    <t>Lê Thị Na, Lương Thị Toan, Lê Duy Hưng, Lê Quỳnh Hương, Lê Thị Liễu, Lê Văn Mậu, Lê Thị Hồng Tơ, Lê Thị Lụa, Phạm Đăng Chiên, Phạm Thu Hà, Phạm Đức Sơn</t>
  </si>
  <si>
    <t xml:space="preserve">Hà Thị Huệ, Trần Thị Thúy, Trần Văn Thương, </t>
  </si>
  <si>
    <t xml:space="preserve">Nguyễn Thị Nho, Tô Xuân Định, Tô Duy Phương, Tô Thị Bích Yên, </t>
  </si>
  <si>
    <t>Nguyễn Thị Nhuận, Nguyễn Văn Chất, Nguyễn Văn Roanh, Nguyễn Văn Khang, Đặng Việt Khoa, Đặng Quang Nam, Đặng Thị Linh</t>
  </si>
  <si>
    <t>Họ và tên
chủ sử dụng đất</t>
  </si>
  <si>
    <t xml:space="preserve">Họ và tên 
chủ sử dụng đất </t>
  </si>
  <si>
    <t>Phạm Văn Ngôn
Mai Thị Thảo</t>
  </si>
  <si>
    <t>Tạ Anh Chiến
Hoàng Thị Sen</t>
  </si>
  <si>
    <t>Phạm Văn Tuân
Hà Thị Minh</t>
  </si>
  <si>
    <t>Tô Văn Toản
Nguyễn Thị Nhung</t>
  </si>
  <si>
    <t>Tô Hùng Cường
Tạ Thúy Hiền</t>
  </si>
  <si>
    <t>Lương Thị Hồng
Nguyễn Xuân Thanh</t>
  </si>
  <si>
    <t>Tạ Quang Thủy
Lê Thị Vân Anh</t>
  </si>
  <si>
    <t>Nguyễn Văn Tiến
Nguyễn Thị Như Loan</t>
  </si>
  <si>
    <t>Tô Văn Quyền
Trần Thị Mùi</t>
  </si>
  <si>
    <t>Nguyễn Trung Thành
Lê Thị Huyền</t>
  </si>
  <si>
    <t>Nguyễn Văn Thạo
Trần Thị Ngoãn</t>
  </si>
  <si>
    <t>Phạm Văn Cường
Phạm Thị Thơm</t>
  </si>
  <si>
    <t>Phan Văn Dũng
Nguyễn Thị Thúy</t>
  </si>
  <si>
    <t>Trần Văn Viễn
Lương Thị Yến</t>
  </si>
  <si>
    <t>Phạm Thị Mến, Phạm Thị Lý, Phạm Văn Quý, Phạm Thị Cam</t>
  </si>
  <si>
    <t>Nguyễn Thị Bặt
Nguyễn Văn Loãn</t>
  </si>
  <si>
    <t>Trần Thị Cậy
Lê Xuân Vĩnh</t>
  </si>
  <si>
    <t>Tô Văn Việt
Phạm Thị Hạnh</t>
  </si>
  <si>
    <t>Tô Văn Phúc
Nguyễn Thị Hiền</t>
  </si>
  <si>
    <t>Vi Văn Bích
Chu Thị Xuyên</t>
  </si>
  <si>
    <t>Lê Văn Linh
Nguyễn Thị Hiên</t>
  </si>
  <si>
    <t>Phan Xuân Lộc
Bùi Thị Hường</t>
  </si>
  <si>
    <t>Phạm Xuân Nguyện
Vi Thị Tuyết</t>
  </si>
  <si>
    <t>Nguyễn Văn Minh
Đinh Thị Mai</t>
  </si>
  <si>
    <t>Tô Thị Tuyết
Tô Văn Quân</t>
  </si>
  <si>
    <t>Tô Văn Tuân
Lại Thị Tâm</t>
  </si>
  <si>
    <t>Tô Quang Trung
Tô Thị Mận</t>
  </si>
  <si>
    <t>Phạm Sơn Dương
Tô Thị Thanh Mai</t>
  </si>
  <si>
    <t>Lê Văn Sơn
Tô Thị Rự</t>
  </si>
  <si>
    <t>Nguyễn Văn Khang
Phạm Thị Sen</t>
  </si>
  <si>
    <t>Lê Xuân Khoản
Phạm Thị Sáu</t>
  </si>
  <si>
    <t>Tô Văn Tuyền
Nguyễn Thị Loan</t>
  </si>
  <si>
    <t>Tô Văn Rự
Trần Thị Hảo</t>
  </si>
  <si>
    <t>Trần Xuân Hiệu
Tô Thị Thu</t>
  </si>
  <si>
    <t>Lê Thị Hoàng Mai, Lê Thị Thu Thuỷ, Lê Thị Thắm, Nguyễn Thị Na, Lê Anh Chiến, Lê Thị Việt Hà, Lê Thị Vân Anh</t>
  </si>
  <si>
    <t>Lê Thị Ước, Tạ Thị Xuân, Lê Văn Đình, Lê Thị Duyên, Lê Thị Huế, Lê Thị Mùi, Nguyễn Thị Oanh, Lê Thị Tâm, Lê Văn Tú, Lê Văn Tuấn, Phạm Thị Minh Liễu, Lê Văn Công, Lê Thị Mai, Lê Thị Vân, Lê Thị Hằng, Lê Thành Thượng</t>
  </si>
  <si>
    <t>XĐ Hạ Tây vùng 1,4</t>
  </si>
  <si>
    <t>XĐ Bồ nông vùng 6, HTV4,1</t>
  </si>
  <si>
    <t>XĐ Tiền Lang chăn nuôi, HD Lang, TL, Ong Vui, TD, XD do</t>
  </si>
  <si>
    <t>Thu hồi UB</t>
  </si>
  <si>
    <t>Tổng thu hồi hộ +UB</t>
  </si>
  <si>
    <t>Thành tiền</t>
  </si>
  <si>
    <t>Tổng tiền bồi thường hỗ trợ</t>
  </si>
  <si>
    <t>Đơn vị tính: Đồng</t>
  </si>
  <si>
    <r>
      <t xml:space="preserve">Tiền hỗ trợ đào tạo chuyển đổi nghề và tìm kiếm việc làm
</t>
    </r>
    <r>
      <rPr>
        <sz val="9"/>
        <color theme="1"/>
        <rFont val="Times New Roman"/>
        <family val="1"/>
      </rPr>
      <t>(225.000đ/m2)</t>
    </r>
    <r>
      <rPr>
        <b/>
        <sz val="9"/>
        <color theme="1"/>
        <rFont val="Times New Roman"/>
        <family val="1"/>
      </rPr>
      <t xml:space="preserve">
</t>
    </r>
  </si>
  <si>
    <r>
      <t>Nguyễn Văn Định, Nguyễn Trung Thành, Nguyễn Thị Hiền,</t>
    </r>
    <r>
      <rPr>
        <sz val="11"/>
        <color theme="1"/>
        <rFont val="Times New Roman"/>
        <family val="1"/>
      </rPr>
      <t xml:space="preserve"> Nguyễn Văn Hiệp </t>
    </r>
  </si>
  <si>
    <t>Nguyễn Thị Oanh, Lê Thị Tâm, Lê Văn Tú, Lê Văn Tuấn</t>
  </si>
  <si>
    <t>Đoàn Thị Chiu, Tô Thị Hương Giang, Tô Thị Phương, Tô Thị Nguyệt</t>
  </si>
  <si>
    <t>Cộng</t>
  </si>
  <si>
    <t>Diện tích 
(m2)</t>
  </si>
  <si>
    <t>Nguyễn Văn Vệ, Đỗ Thị Síu, Nguyễn Văn Tuấn, Nguyễn Văn Tú, Nguyễn Thế Long, Tô Thị Rần, Nguyễn Ngọc Phúc, Nguyễn Ngọc Vĩnh, Nguyễn Thị Yên</t>
  </si>
  <si>
    <t>Phạm Thị Thục, Phạm Ngọc Thuần, Phạm Tuấn Khương, Phạm Thị Ninh, Phạm Thị Hà, Phạm Duy Phương</t>
  </si>
  <si>
    <t>Lê Ngọc Bích, Lê Văn Tuấn, Lê Kim Trọng, Lê Văn Đức</t>
  </si>
  <si>
    <t>Nguyễn Thuỳ Dung, Nguyễn Ngọc Dinh, Nguyễn Thị Nga, Nguyễn Văn Tiến</t>
  </si>
  <si>
    <t>Lê Văn Nam, Phan Thị Đào, Lê Anh Đức, Lê Văn Linh, Trần Thị Cậy, Lê Thị Như Quỳnh, Lê Thị Lý</t>
  </si>
  <si>
    <t>Nguyễn Thị Xuyến, Nguyễn Đình Thi, Nguyễn Minh Thu, Nguyễn Thị Liên, Nguyễn Quốc Toản, Lương Thị Khuyên, Nguyễn Hoàng An, Nguyễn Thị Thu Hằng</t>
  </si>
  <si>
    <t>Phạm Thị Thơm, Vi Văn Năm, Vi Thị Chắt, Vi Văn Bích, Vi Văn Thảo</t>
  </si>
  <si>
    <t>Lê Thị Na, Lương Thị Toan, Lê Duy Hưng, Lê Quỳnh Hương, Lê Thị Liễu, Lê Văn Mậu, Lê Thị Tơ, Lê Thị Lụa, Phạm Đăng Chiên, Phạm Thu Hà, Phạm Đức Sơn</t>
  </si>
  <si>
    <t>Hà Thị Huệ, Trần Thị Thúy, Trần Văn Thương</t>
  </si>
  <si>
    <t xml:space="preserve">Tạ Thị Tuyết, Tô Văn Giang, Tô Trường Sơn, Tô Văn Phương, Tô Văn Tuyền  </t>
  </si>
  <si>
    <t>Nguyễn Thị Nho, Tô Xuân Định, Tô Duy Phương, Tô Thị Bích Yên</t>
  </si>
  <si>
    <t>Nguyễn Thị Nhuận, Nguyễn Văn Chất, Nguyễn Văn Roanh, Nguyễn Văn Khang, Đặng Việt Khoa, Đặng Quang Nam</t>
  </si>
  <si>
    <t>256605-1</t>
  </si>
  <si>
    <t>256605-4</t>
  </si>
  <si>
    <t>01/2026</t>
  </si>
  <si>
    <t>9/2025</t>
  </si>
  <si>
    <t>Lê Thị Thuỷ, Lê Văn Dũng, Lê Xuân Hoàng, Nguyễn Thị Nga, Lê Anh Cường, Lê Thị Khánh Ny</t>
  </si>
  <si>
    <t>Trich lục</t>
  </si>
  <si>
    <t>Ngày thang</t>
  </si>
  <si>
    <t>256605-1, 256605-4</t>
  </si>
  <si>
    <t>9/2025, 01/2026</t>
  </si>
  <si>
    <t xml:space="preserve"> Lê Thị Phương Lan,  Lê Hồng Phong, Lê Thị Hoa, Lê Thị Hạnh </t>
  </si>
  <si>
    <t xml:space="preserve">Phạm Thị Duyên, Phạm Thị Thúy, Phạm Thị Huyền, Phạm Văn Cường, Phạm Văn Kiên, Nguyễn Thị Loan, Phạm Hồng Quân, Phạm Thế Duyệt </t>
  </si>
  <si>
    <t>Lương Ngọc Đức, Lương Ngọc Giáp, Lương Ngọc Hưng, Lương Thị Yến, Lương Thị Nhạn, Lương Thị Thu</t>
  </si>
  <si>
    <t>Tô Thị Sim, Tô Quốc Thỉnh, Tô Thị Kim Thoa, Trần Thị Điệp, Tô Thị Vân, Tô Thị Yên, Tô Thành Đạt, Lê Thị Bùi, Tô Duy Mạnh, Tô Thị Ngọc Ánh</t>
  </si>
  <si>
    <t>Nguyễn Thị Hà, Nguyễn Đức Anh, Nguyễn Thị Thu Hương</t>
  </si>
  <si>
    <t xml:space="preserve">Nguyễn Văn Định, Nguyễn Trung Thành, Nguyễn Thị Hiền, Nguyễn Văn Hiệp </t>
  </si>
  <si>
    <r>
      <t xml:space="preserve">Diện tích thu hồi 
</t>
    </r>
    <r>
      <rPr>
        <sz val="9"/>
        <color theme="1"/>
        <rFont val="Times New Roman"/>
        <family val="1"/>
      </rPr>
      <t>(m2)</t>
    </r>
  </si>
  <si>
    <r>
      <t xml:space="preserve">Số khẩu 
 được hỗ trợ
</t>
    </r>
    <r>
      <rPr>
        <sz val="9"/>
        <color theme="1"/>
        <rFont val="Times New Roman"/>
        <family val="1"/>
      </rPr>
      <t>(khẩu)</t>
    </r>
  </si>
  <si>
    <r>
      <t xml:space="preserve">Số tháng hỗ trợ
</t>
    </r>
    <r>
      <rPr>
        <sz val="9"/>
        <color theme="1"/>
        <rFont val="Times New Roman"/>
        <family val="1"/>
      </rPr>
      <t>(tháng)</t>
    </r>
  </si>
  <si>
    <r>
      <t xml:space="preserve">Diện tích thu hồi trong quy hoạch 
</t>
    </r>
    <r>
      <rPr>
        <sz val="9"/>
        <color theme="1"/>
        <rFont val="Times New Roman"/>
        <family val="1"/>
      </rPr>
      <t>(m2)</t>
    </r>
  </si>
  <si>
    <t>Diện tích quy sào</t>
  </si>
  <si>
    <t>Lê Thị Ước,  Tạ Thị Xuân, Lê Văn Đình, Lê Thị Duyên, Lê Thị Huế, Lê Thị Mùi, Nguyễn Thị Oanh, Lê Thị Tâm, Lê Văn Tú, Lê Văn Tuấn, Phạm Thị Minh Liễu, Lê Văn Công, Lương Thị Mùi, Lê Thị Lương Anh, Lê Thị Mai, Lê Thị Vân, Lê Thị Hằng, Lê Thành Thượng</t>
  </si>
  <si>
    <t>Nguyễn Thị Chanh, Nguyễn Thị Chua, Tô Thị Thanh, Nguyễn Văn Thạo, Nguyễn Văn Hướng, Nguyễn Văn Thường, Phạm Thị Hương, Nguyễn Thị Hà, Nguyễn Khánh Huyền, Nguyễn Thị Thảo</t>
  </si>
  <si>
    <t>Phạm Thị Toan, Phạm Quang Sự, Phạm Thị Nhung,  Phạm Ngọc Phi, Nguyễn Thị Minh Huệ, Phạm Thị Nhường, Phạm Thị Hạnh, Phạm Xuân Thành, Phạm Thị Thoa, Vũ Hồng Ca, Vũ Xuân Hạnh, Vũ Thanh Bình, Chu Văn Toan, Chu Văn Toán, Chu Văn An, Chu Thị Thu, Chu Thị Hà</t>
  </si>
  <si>
    <t>Lê Thị Bùi, Tô Duy Mạnh, Tô Thị Ngọc Ánh</t>
  </si>
  <si>
    <t>Lê Thị Hường, Lê Văn Hướng, Nguyễn Thị Thơm, Lê Văn Hóa, Lê Thị Huế</t>
  </si>
  <si>
    <t>Nguyễn Thị Lan, Nguyễn Văn Học, Nguyễn Văn Minh,  Phạm Thị Huyền, Phạm Văn Cường, Phạm Văn Kiên, Phạm Thị Duyên, Phạm Thị Thúy, Nguyễn Thị Loan, Phạm Văn Quân, Phạm Thế Duyệt, Lê Thị Nhuận, Nguyễn Văn Việt, Nguyễn Văn Giang, Nguyễn Thị Liên, Nguyễn Đức Long</t>
  </si>
  <si>
    <t xml:space="preserve"> Thực hiện dự án: Xây dựng cơ sở hạ tầng Khu dân cư phía Nam kênh Cổ Rồng, xã Tây Giang, huyện Tiền Hải, tỉnh Thái Bình
(nay là xã Ái Quốc, tỉnh Hưng Yên). Địa điểm: Xã Ái Quốc, tỉnh Hưng Yên</t>
  </si>
  <si>
    <r>
      <t xml:space="preserve">Tiền bồi thường, hỗ trợ đất thu hồi
</t>
    </r>
    <r>
      <rPr>
        <sz val="9"/>
        <color theme="1"/>
        <rFont val="Times New Roman"/>
        <family val="1"/>
      </rPr>
      <t>(75.000đồng/m2)</t>
    </r>
  </si>
  <si>
    <t>Tiền hỗ trợ ổn định đời sống và sản xuất
(Số khẩu*30kg gạo/khẩu*17.000đ/kg*
số tháng)</t>
  </si>
  <si>
    <r>
      <t xml:space="preserve">Tiền cơ chế hỗ trợ khác
</t>
    </r>
    <r>
      <rPr>
        <sz val="9"/>
        <color theme="1"/>
        <rFont val="Times New Roman"/>
        <family val="1"/>
      </rPr>
      <t xml:space="preserve"> (cơ chế thưởng)</t>
    </r>
  </si>
  <si>
    <r>
      <t xml:space="preserve">Bồi thường lúa chưa đến kỳ thu hoạch </t>
    </r>
    <r>
      <rPr>
        <sz val="9"/>
        <color theme="1"/>
        <rFont val="Times New Roman"/>
        <family val="1"/>
      </rPr>
      <t>(10.000đ/m2)</t>
    </r>
  </si>
  <si>
    <r>
      <t xml:space="preserve">Tỷ lệ thu hồi </t>
    </r>
    <r>
      <rPr>
        <sz val="9"/>
        <color theme="1"/>
        <rFont val="Times New Roman"/>
        <family val="1"/>
      </rPr>
      <t>(%)</t>
    </r>
  </si>
  <si>
    <t>Tô Thị Rần, Nguyễn Ngọc Phúc, Nguyễn Ngọc Vĩnh, Nguyễn Thị Yên, Vũ Thị Hoa, Nguyễn Lâm Anh, Nguyễn Thị Ngọt</t>
  </si>
  <si>
    <t>(Kèm theo Quyết định số  1128/QĐ-UBND ngày 18/9/2026 của Ủy ban nhân dân xã Ái Quốc)</t>
  </si>
  <si>
    <t>Kinh phí chi tổ chức thực hiện bồi thường, hỗ trợ:</t>
  </si>
  <si>
    <t>Tổng cộng</t>
  </si>
  <si>
    <t>(Kèm theo Tờ trình số  78/QĐ-UBND ngày 17/9/2026 của phòng Kinh tế xã Ái Quốc)</t>
  </si>
  <si>
    <t xml:space="preserve"> BIỂU PHƯƠNG ÁN BỒI THƯỜNG, HỖ TRỢ, TÁI ĐỊNH CƯ KHI NHÀ NƯỚC THU HỒI ĐẤT ĐỂ GPMB </t>
  </si>
  <si>
    <t xml:space="preserve">BIỂU PHƯƠNG ÁN BỒI THƯỜNG, HỖ TRỢ, TÁI ĐỊNH CƯ KHI NHÀ NƯỚC THU HỒI ĐẤT ĐỂ GPMB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</si>
</sst>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0_);_(* \(#,##0.0\);_(* &quot;-&quot;??_);_(@_)"/>
    <numFmt numFmtId="166" formatCode="#,##0.0"/>
    <numFmt numFmtId="167" formatCode="0.0"/>
  </numFmts>
  <fonts count="27">
    <font>
      <sz val="11"/>
      <color theme="1"/>
      <name val="Calibri"/>
      <family val="2"/>
      <scheme val="minor"/>
    </font>
    <font>
      <sz val="11"/>
      <color theme="1"/>
      <name val="Calibri"/>
      <family val="2"/>
      <scheme val="minor"/>
    </font>
    <font>
      <sz val="9"/>
      <color theme="1"/>
      <name val="Times New Roman"/>
      <family val="1"/>
      <charset val="163"/>
    </font>
    <font>
      <b/>
      <sz val="12"/>
      <color theme="1"/>
      <name val="Times New Roman"/>
      <family val="1"/>
    </font>
    <font>
      <sz val="9"/>
      <color theme="1"/>
      <name val="Times New Roman"/>
      <family val="1"/>
    </font>
    <font>
      <sz val="10"/>
      <color theme="1"/>
      <name val="Times New Roman"/>
      <family val="1"/>
    </font>
    <font>
      <b/>
      <sz val="9"/>
      <color theme="1"/>
      <name val="Times New Roman"/>
      <family val="1"/>
    </font>
    <font>
      <i/>
      <sz val="13"/>
      <color theme="1"/>
      <name val="Times New Roman"/>
      <family val="1"/>
      <charset val="163"/>
    </font>
    <font>
      <sz val="11"/>
      <color theme="1"/>
      <name val="Calibri"/>
      <family val="2"/>
      <charset val="163"/>
      <scheme val="minor"/>
    </font>
    <font>
      <sz val="10"/>
      <color indexed="8"/>
      <name val="Arial"/>
      <family val="2"/>
    </font>
    <font>
      <sz val="12"/>
      <name val=".VnTime"/>
      <family val="2"/>
    </font>
    <font>
      <b/>
      <sz val="14"/>
      <color theme="1"/>
      <name val="Times New Roman"/>
      <family val="1"/>
    </font>
    <font>
      <i/>
      <sz val="12"/>
      <color theme="1"/>
      <name val="Times New Roman"/>
      <family val="1"/>
    </font>
    <font>
      <i/>
      <sz val="10"/>
      <color theme="1"/>
      <name val="Times New Roman"/>
      <family val="1"/>
    </font>
    <font>
      <sz val="11"/>
      <color theme="1"/>
      <name val="Times New Roman"/>
      <family val="1"/>
      <charset val="163"/>
    </font>
    <font>
      <sz val="11"/>
      <color theme="1"/>
      <name val=".VnTime"/>
      <family val="2"/>
      <charset val="163"/>
    </font>
    <font>
      <sz val="11"/>
      <color theme="1"/>
      <name val="Times New Roman"/>
      <family val="1"/>
    </font>
    <font>
      <b/>
      <sz val="11"/>
      <color theme="1"/>
      <name val="Times New Roman"/>
      <family val="1"/>
    </font>
    <font>
      <b/>
      <sz val="11"/>
      <color theme="1"/>
      <name val="Times New Roman"/>
      <family val="1"/>
      <charset val="163"/>
    </font>
    <font>
      <i/>
      <sz val="11"/>
      <color theme="1"/>
      <name val="Times New Roman"/>
      <family val="1"/>
    </font>
    <font>
      <sz val="10"/>
      <name val="Arial"/>
      <family val="2"/>
    </font>
    <font>
      <b/>
      <sz val="11"/>
      <color theme="1"/>
      <name val=".VnTime"/>
      <family val="2"/>
      <charset val="163"/>
    </font>
    <font>
      <i/>
      <sz val="14"/>
      <color theme="1"/>
      <name val="Times New Roman"/>
      <family val="1"/>
    </font>
    <font>
      <b/>
      <sz val="14"/>
      <color theme="1"/>
      <name val="Times New Roman"/>
      <family val="1"/>
      <charset val="163"/>
    </font>
    <font>
      <b/>
      <i/>
      <sz val="14"/>
      <color theme="1"/>
      <name val="Times New Roman"/>
      <family val="1"/>
    </font>
    <font>
      <b/>
      <sz val="13"/>
      <color theme="1"/>
      <name val="Times New Roman"/>
      <family val="1"/>
    </font>
    <font>
      <b/>
      <sz val="13"/>
      <color theme="1"/>
      <name val="Times New Roman"/>
      <family val="1"/>
      <charset val="163"/>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7">
    <xf numFmtId="0" fontId="0" fillId="0" borderId="0"/>
    <xf numFmtId="164" fontId="1" fillId="0" borderId="0" applyFont="0" applyFill="0" applyBorder="0" applyAlignment="0" applyProtection="0"/>
    <xf numFmtId="0" fontId="8" fillId="0" borderId="0"/>
    <xf numFmtId="0" fontId="8" fillId="0" borderId="0"/>
    <xf numFmtId="164" fontId="9" fillId="0" borderId="0" applyFont="0" applyFill="0" applyBorder="0" applyAlignment="0" applyProtection="0"/>
    <xf numFmtId="0" fontId="10" fillId="0" borderId="0"/>
    <xf numFmtId="164" fontId="20" fillId="0" borderId="0" applyFont="0" applyFill="0" applyBorder="0" applyAlignment="0" applyProtection="0"/>
  </cellStyleXfs>
  <cellXfs count="139">
    <xf numFmtId="0" fontId="0" fillId="0" borderId="0" xfId="0"/>
    <xf numFmtId="0" fontId="4" fillId="0" borderId="3" xfId="0" applyFont="1" applyBorder="1" applyAlignment="1">
      <alignment horizontal="center" vertical="center"/>
    </xf>
    <xf numFmtId="0" fontId="4" fillId="0" borderId="3" xfId="0" quotePrefix="1"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right" vertical="center"/>
    </xf>
    <xf numFmtId="0" fontId="2" fillId="0" borderId="3" xfId="0" applyFont="1" applyBorder="1" applyAlignment="1">
      <alignment horizontal="center" vertical="center"/>
    </xf>
    <xf numFmtId="0" fontId="2" fillId="0" borderId="3" xfId="0" quotePrefix="1" applyFont="1" applyBorder="1" applyAlignment="1">
      <alignment horizontal="center" vertical="center"/>
    </xf>
    <xf numFmtId="0" fontId="5" fillId="0" borderId="0" xfId="0" applyFont="1" applyAlignment="1">
      <alignment horizontal="center" vertical="center"/>
    </xf>
    <xf numFmtId="2" fontId="5" fillId="0" borderId="3" xfId="0" applyNumberFormat="1"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horizontal="left" vertical="center" wrapText="1"/>
    </xf>
    <xf numFmtId="166" fontId="5" fillId="0" borderId="0" xfId="0" applyNumberFormat="1" applyFont="1" applyAlignment="1">
      <alignment horizontal="right" vertical="center"/>
    </xf>
    <xf numFmtId="0" fontId="7" fillId="3" borderId="1" xfId="0" applyFont="1" applyFill="1" applyBorder="1" applyAlignment="1">
      <alignment horizontal="center" vertical="center"/>
    </xf>
    <xf numFmtId="0" fontId="5" fillId="3" borderId="0" xfId="0" applyFont="1" applyFill="1" applyAlignment="1">
      <alignment horizontal="right" vertical="center"/>
    </xf>
    <xf numFmtId="0" fontId="7" fillId="4" borderId="1" xfId="0" applyFont="1" applyFill="1" applyBorder="1" applyAlignment="1">
      <alignment horizontal="center" vertical="center"/>
    </xf>
    <xf numFmtId="0" fontId="5" fillId="4" borderId="0" xfId="0" applyFont="1" applyFill="1" applyAlignment="1">
      <alignment horizontal="right" vertical="center"/>
    </xf>
    <xf numFmtId="0" fontId="7" fillId="0" borderId="1" xfId="0" applyFont="1" applyBorder="1" applyAlignment="1">
      <alignment vertical="center"/>
    </xf>
    <xf numFmtId="0" fontId="5" fillId="0" borderId="0" xfId="0" applyFont="1" applyAlignment="1">
      <alignment vertical="center"/>
    </xf>
    <xf numFmtId="0" fontId="6" fillId="3" borderId="3" xfId="0" applyFont="1" applyFill="1" applyBorder="1" applyAlignment="1">
      <alignment horizontal="center" vertical="center" wrapText="1"/>
    </xf>
    <xf numFmtId="165" fontId="6" fillId="0" borderId="3" xfId="1" applyNumberFormat="1" applyFont="1" applyFill="1" applyBorder="1" applyAlignment="1">
      <alignment horizontal="center" vertical="center" wrapText="1"/>
    </xf>
    <xf numFmtId="0" fontId="6" fillId="4" borderId="3" xfId="0" applyFont="1" applyFill="1" applyBorder="1" applyAlignment="1">
      <alignment horizontal="center" vertical="center" wrapText="1"/>
    </xf>
    <xf numFmtId="166" fontId="6" fillId="0" borderId="3" xfId="0" applyNumberFormat="1" applyFont="1" applyBorder="1" applyAlignment="1">
      <alignment horizontal="center" vertical="center" wrapText="1"/>
    </xf>
    <xf numFmtId="165" fontId="6" fillId="0" borderId="3" xfId="4" applyNumberFormat="1" applyFont="1" applyFill="1" applyBorder="1" applyAlignment="1">
      <alignment horizontal="center" vertical="center" wrapText="1"/>
    </xf>
    <xf numFmtId="2" fontId="6" fillId="0" borderId="3" xfId="4" applyNumberFormat="1" applyFont="1" applyFill="1" applyBorder="1" applyAlignment="1">
      <alignment horizontal="center" vertical="center" wrapText="1"/>
    </xf>
    <xf numFmtId="0" fontId="14" fillId="0" borderId="3" xfId="0" applyFont="1" applyBorder="1" applyAlignment="1">
      <alignment horizontal="center" vertical="center"/>
    </xf>
    <xf numFmtId="2" fontId="14" fillId="0" borderId="3" xfId="0" quotePrefix="1" applyNumberFormat="1" applyFont="1" applyBorder="1" applyAlignment="1">
      <alignment horizontal="center" vertical="center"/>
    </xf>
    <xf numFmtId="0" fontId="15" fillId="0" borderId="3" xfId="0" applyFont="1" applyBorder="1" applyAlignment="1">
      <alignment horizontal="center" vertical="center" wrapText="1"/>
    </xf>
    <xf numFmtId="166" fontId="14" fillId="0" borderId="3" xfId="0" applyNumberFormat="1" applyFont="1" applyBorder="1" applyAlignment="1">
      <alignment vertical="center"/>
    </xf>
    <xf numFmtId="166" fontId="14" fillId="4" borderId="3" xfId="0" applyNumberFormat="1" applyFont="1" applyFill="1" applyBorder="1" applyAlignment="1">
      <alignment vertical="center"/>
    </xf>
    <xf numFmtId="166" fontId="14" fillId="3" borderId="3" xfId="0" applyNumberFormat="1" applyFont="1" applyFill="1" applyBorder="1" applyAlignment="1">
      <alignment vertical="center"/>
    </xf>
    <xf numFmtId="0" fontId="14" fillId="0" borderId="3" xfId="0" quotePrefix="1" applyFont="1" applyBorder="1" applyAlignment="1">
      <alignment horizontal="center" vertical="center"/>
    </xf>
    <xf numFmtId="166" fontId="14" fillId="0" borderId="3" xfId="0" applyNumberFormat="1" applyFont="1" applyBorder="1" applyAlignment="1">
      <alignment horizontal="right" vertical="center"/>
    </xf>
    <xf numFmtId="166" fontId="14" fillId="3" borderId="3" xfId="0" applyNumberFormat="1" applyFont="1" applyFill="1" applyBorder="1" applyAlignment="1">
      <alignment horizontal="right" vertical="center"/>
    </xf>
    <xf numFmtId="166" fontId="14" fillId="0" borderId="3" xfId="0" applyNumberFormat="1" applyFont="1" applyBorder="1" applyAlignment="1">
      <alignment horizontal="center" vertical="center"/>
    </xf>
    <xf numFmtId="166" fontId="16" fillId="0" borderId="3" xfId="0" applyNumberFormat="1" applyFont="1" applyBorder="1" applyAlignment="1">
      <alignment vertical="center" wrapText="1"/>
    </xf>
    <xf numFmtId="0" fontId="14" fillId="3" borderId="0" xfId="0" applyFont="1" applyFill="1" applyAlignment="1">
      <alignment horizontal="center" vertical="center"/>
    </xf>
    <xf numFmtId="0" fontId="14" fillId="0" borderId="0" xfId="0" applyFont="1" applyAlignment="1">
      <alignment horizontal="center" vertical="center"/>
    </xf>
    <xf numFmtId="0" fontId="16" fillId="0" borderId="3" xfId="0" applyFont="1" applyBorder="1" applyAlignment="1">
      <alignment horizontal="left" vertical="center" wrapText="1"/>
    </xf>
    <xf numFmtId="0" fontId="16" fillId="0" borderId="3" xfId="0" applyFont="1" applyBorder="1" applyAlignment="1">
      <alignment horizontal="center" vertical="center"/>
    </xf>
    <xf numFmtId="2" fontId="16" fillId="0" borderId="3" xfId="0" quotePrefix="1" applyNumberFormat="1" applyFont="1" applyBorder="1" applyAlignment="1">
      <alignment horizontal="center" vertical="center"/>
    </xf>
    <xf numFmtId="167" fontId="16" fillId="0" borderId="3" xfId="0" applyNumberFormat="1" applyFont="1" applyBorder="1" applyAlignment="1">
      <alignment horizontal="left" vertical="center" wrapText="1"/>
    </xf>
    <xf numFmtId="0" fontId="16" fillId="0" borderId="3" xfId="0" applyFont="1" applyBorder="1" applyAlignment="1">
      <alignment horizontal="center" vertical="center" wrapText="1"/>
    </xf>
    <xf numFmtId="166" fontId="16" fillId="0" borderId="3" xfId="0" applyNumberFormat="1" applyFont="1" applyBorder="1" applyAlignment="1">
      <alignment vertical="center"/>
    </xf>
    <xf numFmtId="0" fontId="16" fillId="0" borderId="3" xfId="0" applyFont="1" applyBorder="1" applyAlignment="1">
      <alignment vertical="center" wrapText="1"/>
    </xf>
    <xf numFmtId="166" fontId="16" fillId="4" borderId="3" xfId="0" applyNumberFormat="1" applyFont="1" applyFill="1" applyBorder="1" applyAlignment="1">
      <alignment vertical="center"/>
    </xf>
    <xf numFmtId="166" fontId="16" fillId="3" borderId="3" xfId="0" applyNumberFormat="1" applyFont="1" applyFill="1" applyBorder="1" applyAlignment="1">
      <alignment vertical="center"/>
    </xf>
    <xf numFmtId="0" fontId="16" fillId="0" borderId="3" xfId="0" quotePrefix="1" applyFont="1" applyBorder="1" applyAlignment="1">
      <alignment horizontal="center" vertical="center"/>
    </xf>
    <xf numFmtId="166" fontId="16" fillId="0" borderId="3" xfId="0" applyNumberFormat="1" applyFont="1" applyBorder="1" applyAlignment="1">
      <alignment horizontal="right" vertical="center"/>
    </xf>
    <xf numFmtId="166" fontId="16" fillId="0" borderId="3" xfId="0" applyNumberFormat="1" applyFont="1" applyBorder="1" applyAlignment="1">
      <alignment horizontal="center" vertical="center"/>
    </xf>
    <xf numFmtId="0" fontId="16" fillId="0" borderId="0" xfId="0" applyFont="1" applyAlignment="1">
      <alignment horizontal="center" vertical="center"/>
    </xf>
    <xf numFmtId="167" fontId="16" fillId="0" borderId="3" xfId="0" applyNumberFormat="1" applyFont="1" applyBorder="1" applyAlignment="1">
      <alignment vertical="center" wrapText="1"/>
    </xf>
    <xf numFmtId="167" fontId="16" fillId="0" borderId="3" xfId="0" applyNumberFormat="1" applyFont="1" applyBorder="1" applyAlignment="1">
      <alignment horizontal="center" vertical="center" wrapText="1"/>
    </xf>
    <xf numFmtId="166" fontId="16" fillId="0" borderId="3" xfId="0" applyNumberFormat="1" applyFont="1" applyBorder="1" applyAlignment="1">
      <alignment horizontal="left" vertical="center" wrapText="1"/>
    </xf>
    <xf numFmtId="166" fontId="14" fillId="0" borderId="3" xfId="0" applyNumberFormat="1" applyFont="1" applyBorder="1" applyAlignment="1">
      <alignment horizontal="left" vertical="center" wrapText="1"/>
    </xf>
    <xf numFmtId="0" fontId="16" fillId="0" borderId="3" xfId="0" applyFont="1" applyBorder="1" applyAlignment="1">
      <alignment vertical="center"/>
    </xf>
    <xf numFmtId="0" fontId="16" fillId="0" borderId="3" xfId="0" applyFont="1" applyBorder="1" applyAlignment="1">
      <alignment horizontal="left" vertical="center"/>
    </xf>
    <xf numFmtId="0" fontId="16" fillId="5" borderId="0" xfId="0" applyFont="1" applyFill="1" applyAlignment="1">
      <alignment horizontal="center" vertical="center"/>
    </xf>
    <xf numFmtId="0" fontId="18" fillId="0" borderId="3" xfId="0" applyFont="1" applyBorder="1" applyAlignment="1">
      <alignment horizontal="left" vertical="center" wrapText="1"/>
    </xf>
    <xf numFmtId="0" fontId="14" fillId="0" borderId="3" xfId="0" applyFont="1" applyBorder="1" applyAlignment="1">
      <alignment vertical="center"/>
    </xf>
    <xf numFmtId="166" fontId="6" fillId="0" borderId="5" xfId="0" applyNumberFormat="1" applyFont="1" applyBorder="1" applyAlignment="1">
      <alignment horizontal="center" vertical="center" wrapText="1"/>
    </xf>
    <xf numFmtId="17" fontId="4" fillId="0" borderId="3" xfId="0" quotePrefix="1" applyNumberFormat="1" applyFont="1" applyBorder="1" applyAlignment="1">
      <alignment horizontal="center" vertical="center"/>
    </xf>
    <xf numFmtId="0" fontId="19" fillId="0" borderId="1" xfId="0" applyFont="1" applyBorder="1" applyAlignment="1">
      <alignment horizontal="left" vertical="center"/>
    </xf>
    <xf numFmtId="0" fontId="16" fillId="0" borderId="0" xfId="0" applyFont="1" applyAlignment="1">
      <alignment horizontal="left" vertical="center"/>
    </xf>
    <xf numFmtId="0" fontId="11" fillId="0" borderId="0" xfId="0" applyFont="1" applyAlignment="1">
      <alignment wrapText="1"/>
    </xf>
    <xf numFmtId="164" fontId="13" fillId="0" borderId="0" xfId="1" applyFont="1" applyBorder="1" applyAlignment="1"/>
    <xf numFmtId="0" fontId="12" fillId="6" borderId="1" xfId="0" applyFont="1" applyFill="1" applyBorder="1" applyAlignment="1" applyProtection="1">
      <alignment vertical="center"/>
      <protection hidden="1"/>
    </xf>
    <xf numFmtId="3" fontId="14" fillId="0" borderId="3" xfId="0" applyNumberFormat="1" applyFont="1" applyBorder="1" applyAlignment="1">
      <alignment vertical="center"/>
    </xf>
    <xf numFmtId="3" fontId="14" fillId="0" borderId="3" xfId="0" applyNumberFormat="1" applyFont="1" applyBorder="1" applyAlignment="1">
      <alignment horizontal="right" vertical="center"/>
    </xf>
    <xf numFmtId="166" fontId="17" fillId="0" borderId="3" xfId="0" applyNumberFormat="1" applyFont="1" applyBorder="1" applyAlignment="1">
      <alignment horizontal="center" vertical="center"/>
    </xf>
    <xf numFmtId="4" fontId="14" fillId="0" borderId="3" xfId="0" applyNumberFormat="1" applyFont="1" applyBorder="1" applyAlignment="1">
      <alignment horizontal="right" vertical="center"/>
    </xf>
    <xf numFmtId="0" fontId="18" fillId="0" borderId="3" xfId="0" applyFont="1" applyBorder="1" applyAlignment="1">
      <alignment horizontal="center" vertical="center"/>
    </xf>
    <xf numFmtId="2" fontId="18" fillId="0" borderId="3" xfId="0" quotePrefix="1" applyNumberFormat="1" applyFont="1" applyBorder="1" applyAlignment="1">
      <alignment horizontal="center" vertical="center"/>
    </xf>
    <xf numFmtId="0" fontId="18" fillId="0" borderId="3" xfId="0" applyFont="1" applyBorder="1" applyAlignment="1">
      <alignment vertical="center" wrapText="1"/>
    </xf>
    <xf numFmtId="0" fontId="18" fillId="0" borderId="3" xfId="0" applyFont="1" applyBorder="1" applyAlignment="1">
      <alignment horizontal="center" vertical="center" wrapText="1"/>
    </xf>
    <xf numFmtId="0" fontId="21" fillId="0" borderId="3" xfId="0" applyFont="1" applyBorder="1" applyAlignment="1">
      <alignment horizontal="center" vertical="center" wrapText="1"/>
    </xf>
    <xf numFmtId="166" fontId="18" fillId="0" borderId="3" xfId="0" applyNumberFormat="1" applyFont="1" applyBorder="1" applyAlignment="1">
      <alignment vertical="center"/>
    </xf>
    <xf numFmtId="166" fontId="18" fillId="3" borderId="3" xfId="0" applyNumberFormat="1" applyFont="1" applyFill="1" applyBorder="1" applyAlignment="1">
      <alignment vertical="center"/>
    </xf>
    <xf numFmtId="0" fontId="18" fillId="0" borderId="3" xfId="0" applyFont="1" applyBorder="1" applyAlignment="1">
      <alignment vertical="center"/>
    </xf>
    <xf numFmtId="0" fontId="18" fillId="0" borderId="3" xfId="0" quotePrefix="1" applyFont="1" applyBorder="1" applyAlignment="1">
      <alignment horizontal="center" vertical="center"/>
    </xf>
    <xf numFmtId="166" fontId="18" fillId="0" borderId="3" xfId="0" applyNumberFormat="1" applyFont="1" applyBorder="1" applyAlignment="1">
      <alignment horizontal="right" vertical="center"/>
    </xf>
    <xf numFmtId="3" fontId="18" fillId="0" borderId="3" xfId="0" applyNumberFormat="1" applyFont="1" applyBorder="1" applyAlignment="1">
      <alignment vertical="center"/>
    </xf>
    <xf numFmtId="0" fontId="18" fillId="0" borderId="0" xfId="0" applyFont="1" applyAlignment="1">
      <alignment horizontal="center" vertical="center"/>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vertical="center" wrapText="1"/>
    </xf>
    <xf numFmtId="0" fontId="14"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1" xfId="0" applyFont="1" applyBorder="1" applyAlignment="1">
      <alignment horizontal="center" vertical="center" wrapText="1"/>
    </xf>
    <xf numFmtId="0" fontId="23" fillId="0" borderId="0" xfId="0" applyFont="1" applyAlignment="1">
      <alignment vertical="center" wrapText="1"/>
    </xf>
    <xf numFmtId="0" fontId="6" fillId="0" borderId="0" xfId="0" applyFont="1" applyAlignment="1">
      <alignment horizontal="center" vertical="center"/>
    </xf>
    <xf numFmtId="166" fontId="18" fillId="4" borderId="3" xfId="0" applyNumberFormat="1" applyFont="1" applyFill="1" applyBorder="1" applyAlignment="1">
      <alignment vertical="center"/>
    </xf>
    <xf numFmtId="0" fontId="5" fillId="0" borderId="3" xfId="0" applyFont="1" applyBorder="1" applyAlignment="1">
      <alignment vertical="center" wrapText="1"/>
    </xf>
    <xf numFmtId="0" fontId="6" fillId="2" borderId="5" xfId="2" applyFont="1" applyFill="1" applyBorder="1" applyAlignment="1">
      <alignment horizontal="center" vertical="center" wrapText="1"/>
    </xf>
    <xf numFmtId="0" fontId="6" fillId="2" borderId="12" xfId="2" applyFont="1" applyFill="1" applyBorder="1" applyAlignment="1">
      <alignment horizontal="center" vertical="center" wrapText="1"/>
    </xf>
    <xf numFmtId="0" fontId="6" fillId="0" borderId="3" xfId="0" applyFont="1" applyBorder="1" applyAlignment="1">
      <alignment horizontal="center" vertical="center" wrapText="1"/>
    </xf>
    <xf numFmtId="0" fontId="6" fillId="2" borderId="11" xfId="2"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1" xfId="0" applyFont="1" applyBorder="1" applyAlignment="1">
      <alignment horizontal="center" vertical="center" wrapText="1"/>
    </xf>
    <xf numFmtId="0" fontId="11" fillId="0" borderId="0" xfId="0" applyFont="1" applyAlignment="1">
      <alignment horizontal="center" wrapText="1"/>
    </xf>
    <xf numFmtId="0" fontId="23" fillId="0" borderId="0" xfId="0" applyFont="1" applyAlignment="1">
      <alignment horizontal="center" vertical="center" wrapText="1"/>
    </xf>
    <xf numFmtId="164" fontId="22" fillId="0" borderId="0" xfId="6" applyFont="1" applyBorder="1" applyAlignment="1">
      <alignment horizontal="center"/>
    </xf>
    <xf numFmtId="166" fontId="6" fillId="0" borderId="3" xfId="3" applyNumberFormat="1" applyFont="1" applyBorder="1" applyAlignment="1">
      <alignment horizontal="center" vertical="center" wrapText="1"/>
    </xf>
    <xf numFmtId="0" fontId="6" fillId="2" borderId="3" xfId="2" applyFont="1" applyFill="1" applyBorder="1" applyAlignment="1">
      <alignment horizontal="center" vertical="center" wrapText="1"/>
    </xf>
    <xf numFmtId="0" fontId="12" fillId="6" borderId="1" xfId="0" applyFont="1" applyFill="1" applyBorder="1" applyAlignment="1" applyProtection="1">
      <alignment horizontal="center" vertical="center"/>
      <protection hidden="1"/>
    </xf>
    <xf numFmtId="0" fontId="6" fillId="0" borderId="3" xfId="0" applyFont="1" applyBorder="1" applyAlignment="1">
      <alignment horizontal="center" vertical="center"/>
    </xf>
    <xf numFmtId="2" fontId="6" fillId="0" borderId="3"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164" fontId="24" fillId="0" borderId="0" xfId="6" applyFont="1" applyBorder="1" applyAlignment="1">
      <alignment horizontal="center"/>
    </xf>
    <xf numFmtId="166" fontId="18" fillId="0" borderId="9" xfId="0" applyNumberFormat="1" applyFont="1" applyBorder="1" applyAlignment="1">
      <alignment horizontal="right" vertical="center"/>
    </xf>
    <xf numFmtId="2" fontId="5" fillId="0" borderId="11" xfId="0" applyNumberFormat="1" applyFont="1" applyBorder="1" applyAlignment="1">
      <alignment horizontal="center" vertical="center"/>
    </xf>
    <xf numFmtId="0" fontId="3" fillId="0" borderId="3" xfId="0" applyFont="1" applyBorder="1" applyAlignment="1">
      <alignment vertical="center" wrapText="1"/>
    </xf>
    <xf numFmtId="0" fontId="5" fillId="0" borderId="3" xfId="0" applyFont="1" applyBorder="1" applyAlignment="1">
      <alignment horizontal="center" vertical="center"/>
    </xf>
    <xf numFmtId="0" fontId="5" fillId="0" borderId="3" xfId="0" applyFont="1" applyBorder="1" applyAlignment="1">
      <alignment horizontal="left" vertical="center"/>
    </xf>
    <xf numFmtId="0" fontId="5" fillId="0" borderId="3" xfId="0" applyFont="1" applyBorder="1" applyAlignment="1">
      <alignment horizontal="right" vertical="center"/>
    </xf>
    <xf numFmtId="0" fontId="5" fillId="4" borderId="3" xfId="0" applyFont="1" applyFill="1" applyBorder="1" applyAlignment="1">
      <alignment horizontal="right" vertical="center"/>
    </xf>
    <xf numFmtId="0" fontId="5" fillId="3" borderId="3" xfId="0" applyFont="1" applyFill="1" applyBorder="1" applyAlignment="1">
      <alignment horizontal="right" vertical="center"/>
    </xf>
    <xf numFmtId="0" fontId="5" fillId="0" borderId="3" xfId="0" applyFont="1" applyBorder="1" applyAlignment="1">
      <alignment horizontal="left" vertical="center" wrapText="1"/>
    </xf>
    <xf numFmtId="166" fontId="5" fillId="0" borderId="3" xfId="0" applyNumberFormat="1" applyFont="1" applyBorder="1" applyAlignment="1">
      <alignment horizontal="right" vertical="center"/>
    </xf>
    <xf numFmtId="0" fontId="25" fillId="0" borderId="3" xfId="0" applyFont="1" applyBorder="1" applyAlignment="1">
      <alignment horizontal="left" vertical="center"/>
    </xf>
    <xf numFmtId="0" fontId="25" fillId="0" borderId="3" xfId="0" applyFont="1" applyBorder="1" applyAlignment="1">
      <alignment horizontal="center" vertical="center"/>
    </xf>
    <xf numFmtId="0" fontId="25" fillId="0" borderId="3" xfId="0" applyFont="1" applyBorder="1" applyAlignment="1">
      <alignment horizontal="right" vertical="center"/>
    </xf>
    <xf numFmtId="3" fontId="25" fillId="0" borderId="3" xfId="0" applyNumberFormat="1" applyFont="1" applyBorder="1" applyAlignment="1">
      <alignment horizontal="right" vertical="center"/>
    </xf>
    <xf numFmtId="0" fontId="3" fillId="0" borderId="3" xfId="0" applyFont="1" applyBorder="1" applyAlignment="1">
      <alignment horizontal="left" vertical="center" wrapText="1"/>
    </xf>
    <xf numFmtId="3" fontId="26" fillId="0" borderId="3" xfId="0" applyNumberFormat="1" applyFont="1" applyBorder="1" applyAlignment="1">
      <alignment vertical="center"/>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3" fontId="17" fillId="0" borderId="3" xfId="0" applyNumberFormat="1" applyFont="1" applyBorder="1" applyAlignment="1">
      <alignment vertical="center"/>
    </xf>
    <xf numFmtId="3" fontId="5" fillId="0" borderId="0" xfId="0" applyNumberFormat="1" applyFont="1" applyAlignment="1">
      <alignment vertical="center"/>
    </xf>
  </cellXfs>
  <cellStyles count="7">
    <cellStyle name="Comma" xfId="1" builtinId="3"/>
    <cellStyle name="Comma 2" xfId="4"/>
    <cellStyle name="Comma 5 10" xfId="6"/>
    <cellStyle name="Normal" xfId="0" builtinId="0"/>
    <cellStyle name="Normal 2" xfId="3"/>
    <cellStyle name="Normal 2 2" xfId="5"/>
    <cellStyle name="Normal 9" xfId="2"/>
  </cellStyles>
  <dxfs count="4">
    <dxf>
      <fill>
        <patternFill>
          <bgColor theme="7" tint="0.59996337778862885"/>
        </patternFill>
      </fill>
    </dxf>
    <dxf>
      <fill>
        <patternFill>
          <bgColor theme="9" tint="0.39994506668294322"/>
        </patternFill>
      </fill>
    </dxf>
    <dxf>
      <fill>
        <patternFill>
          <bgColor theme="7" tint="0.59996337778862885"/>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106"/>
  <sheetViews>
    <sheetView tabSelected="1" workbookViewId="0">
      <selection activeCell="A2" sqref="A2:DW2"/>
    </sheetView>
  </sheetViews>
  <sheetFormatPr defaultColWidth="10.7109375" defaultRowHeight="15"/>
  <cols>
    <col min="1" max="1" width="4.28515625" style="8" customWidth="1"/>
    <col min="2" max="2" width="5.140625" style="9" hidden="1" customWidth="1"/>
    <col min="3" max="4" width="17.28515625" style="8" hidden="1" customWidth="1"/>
    <col min="5" max="5" width="7.5703125" style="8" hidden="1" customWidth="1"/>
    <col min="6" max="6" width="5.5703125" style="8" hidden="1" customWidth="1"/>
    <col min="7" max="7" width="6.28515625" style="8" hidden="1" customWidth="1"/>
    <col min="8" max="8" width="5.140625" style="8" hidden="1" customWidth="1"/>
    <col min="9" max="9" width="8" style="8" hidden="1" customWidth="1"/>
    <col min="10" max="10" width="15.42578125" style="10" hidden="1" customWidth="1"/>
    <col min="11" max="11" width="7.28515625" style="8" hidden="1" customWidth="1"/>
    <col min="12" max="12" width="7.42578125" style="8" hidden="1" customWidth="1"/>
    <col min="13" max="13" width="8.42578125" style="8" hidden="1" customWidth="1"/>
    <col min="14" max="18" width="8.28515625" style="8" hidden="1" customWidth="1"/>
    <col min="19" max="21" width="8.28515625" style="11" hidden="1" customWidth="1"/>
    <col min="22" max="22" width="7.42578125" style="11" hidden="1" customWidth="1"/>
    <col min="23" max="23" width="9" style="11" hidden="1" customWidth="1"/>
    <col min="24" max="24" width="7" style="11" hidden="1" customWidth="1"/>
    <col min="25" max="46" width="9" style="11" hidden="1" customWidth="1"/>
    <col min="47" max="47" width="9" style="17" hidden="1" customWidth="1"/>
    <col min="48" max="101" width="9" style="11" hidden="1" customWidth="1"/>
    <col min="102" max="104" width="9" style="15" hidden="1" customWidth="1"/>
    <col min="105" max="105" width="9" style="11" hidden="1" customWidth="1"/>
    <col min="106" max="106" width="7.140625" style="11" hidden="1" customWidth="1"/>
    <col min="107" max="107" width="12.140625" style="12" hidden="1" customWidth="1"/>
    <col min="108" max="108" width="4.140625" style="8" hidden="1" customWidth="1"/>
    <col min="109" max="109" width="4.85546875" style="8" hidden="1" customWidth="1"/>
    <col min="110" max="110" width="5.42578125" style="8" hidden="1" customWidth="1"/>
    <col min="111" max="111" width="4.28515625" style="13" hidden="1" customWidth="1"/>
    <col min="112" max="112" width="48.140625" style="64" customWidth="1"/>
    <col min="113" max="113" width="9.42578125" style="8" hidden="1" customWidth="1"/>
    <col min="114" max="114" width="9.7109375" style="8" hidden="1" customWidth="1"/>
    <col min="115" max="115" width="8.85546875" style="11" customWidth="1"/>
    <col min="116" max="116" width="8.85546875" style="11" hidden="1" customWidth="1"/>
    <col min="117" max="117" width="14.85546875" style="19" customWidth="1"/>
    <col min="118" max="118" width="15.85546875" style="19" customWidth="1"/>
    <col min="119" max="119" width="7.7109375" style="8" customWidth="1"/>
    <col min="120" max="120" width="6.5703125" style="11" customWidth="1"/>
    <col min="121" max="121" width="7.42578125" style="8" customWidth="1"/>
    <col min="122" max="122" width="14.85546875" style="11" customWidth="1"/>
    <col min="123" max="123" width="11.85546875" style="11" customWidth="1"/>
    <col min="124" max="124" width="15" style="19" customWidth="1"/>
    <col min="125" max="125" width="12.28515625" style="19" hidden="1" customWidth="1"/>
    <col min="126" max="126" width="12.85546875" style="19" customWidth="1"/>
    <col min="127" max="127" width="19.140625" style="11" customWidth="1"/>
    <col min="128" max="128" width="1.140625" style="11" hidden="1" customWidth="1"/>
    <col min="129" max="16384" width="10.7109375" style="8"/>
  </cols>
  <sheetData>
    <row r="1" spans="1:128" ht="24" customHeight="1">
      <c r="A1" s="103" t="s">
        <v>546</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65"/>
    </row>
    <row r="2" spans="1:128" ht="36.6" customHeight="1">
      <c r="A2" s="104" t="s">
        <v>534</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4"/>
      <c r="CK2" s="104"/>
      <c r="CL2" s="104"/>
      <c r="CM2" s="104"/>
      <c r="CN2" s="104"/>
      <c r="CO2" s="104"/>
      <c r="CP2" s="104"/>
      <c r="CQ2" s="104"/>
      <c r="CR2" s="104"/>
      <c r="CS2" s="104"/>
      <c r="CT2" s="104"/>
      <c r="CU2" s="104"/>
      <c r="CV2" s="104"/>
      <c r="CW2" s="104"/>
      <c r="CX2" s="104"/>
      <c r="CY2" s="104"/>
      <c r="CZ2" s="104"/>
      <c r="DA2" s="104"/>
      <c r="DB2" s="104"/>
      <c r="DC2" s="104"/>
      <c r="DD2" s="104"/>
      <c r="DE2" s="104"/>
      <c r="DF2" s="104"/>
      <c r="DG2" s="104"/>
      <c r="DH2" s="104"/>
      <c r="DI2" s="104"/>
      <c r="DJ2" s="104"/>
      <c r="DK2" s="104"/>
      <c r="DL2" s="104"/>
      <c r="DM2" s="104"/>
      <c r="DN2" s="104"/>
      <c r="DO2" s="104"/>
      <c r="DP2" s="104"/>
      <c r="DQ2" s="104"/>
      <c r="DR2" s="104"/>
      <c r="DS2" s="104"/>
      <c r="DT2" s="104"/>
      <c r="DU2" s="104"/>
      <c r="DV2" s="104"/>
      <c r="DW2" s="104"/>
      <c r="DX2" s="93"/>
    </row>
    <row r="3" spans="1:128" ht="24" customHeight="1">
      <c r="A3" s="117" t="s">
        <v>541</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5"/>
      <c r="CJ3" s="105"/>
      <c r="CK3" s="105"/>
      <c r="CL3" s="105"/>
      <c r="CM3" s="105"/>
      <c r="CN3" s="105"/>
      <c r="CO3" s="105"/>
      <c r="CP3" s="105"/>
      <c r="CQ3" s="105"/>
      <c r="CR3" s="105"/>
      <c r="CS3" s="105"/>
      <c r="CT3" s="105"/>
      <c r="CU3" s="105"/>
      <c r="CV3" s="105"/>
      <c r="CW3" s="105"/>
      <c r="CX3" s="105"/>
      <c r="CY3" s="105"/>
      <c r="CZ3" s="105"/>
      <c r="DA3" s="105"/>
      <c r="DB3" s="105"/>
      <c r="DC3" s="105"/>
      <c r="DD3" s="105"/>
      <c r="DE3" s="105"/>
      <c r="DF3" s="105"/>
      <c r="DG3" s="105"/>
      <c r="DH3" s="105"/>
      <c r="DI3" s="105"/>
      <c r="DJ3" s="105"/>
      <c r="DK3" s="105"/>
      <c r="DL3" s="105"/>
      <c r="DM3" s="105"/>
      <c r="DN3" s="105"/>
      <c r="DO3" s="105"/>
      <c r="DP3" s="105"/>
      <c r="DQ3" s="105"/>
      <c r="DR3" s="105"/>
      <c r="DS3" s="105"/>
      <c r="DT3" s="105"/>
      <c r="DU3" s="105"/>
      <c r="DV3" s="105"/>
      <c r="DW3" s="105"/>
      <c r="DX3" s="66"/>
    </row>
    <row r="4" spans="1:128" ht="23.45" customHeight="1">
      <c r="A4" s="3"/>
      <c r="B4" s="3"/>
      <c r="C4" s="4"/>
      <c r="D4" s="4"/>
      <c r="E4" s="4"/>
      <c r="F4" s="4"/>
      <c r="G4" s="3"/>
      <c r="H4" s="3"/>
      <c r="I4" s="4"/>
      <c r="J4" s="3"/>
      <c r="K4" s="3"/>
      <c r="L4" s="3"/>
      <c r="M4" s="4"/>
      <c r="N4" s="4"/>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16"/>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14"/>
      <c r="CY4" s="14"/>
      <c r="CZ4" s="14"/>
      <c r="DA4" s="3"/>
      <c r="DB4" s="3"/>
      <c r="DC4" s="3"/>
      <c r="DD4" s="3"/>
      <c r="DE4" s="3"/>
      <c r="DF4" s="3"/>
      <c r="DG4" s="5"/>
      <c r="DH4" s="63"/>
      <c r="DI4" s="3"/>
      <c r="DJ4" s="3"/>
      <c r="DK4" s="5"/>
      <c r="DL4" s="5"/>
      <c r="DM4" s="18"/>
      <c r="DN4" s="18"/>
      <c r="DO4" s="3"/>
      <c r="DP4" s="5"/>
      <c r="DQ4" s="3"/>
      <c r="DR4" s="5"/>
      <c r="DS4" s="5"/>
      <c r="DU4" s="67"/>
      <c r="DV4" s="108" t="s">
        <v>489</v>
      </c>
      <c r="DW4" s="108"/>
      <c r="DX4" s="67"/>
    </row>
    <row r="5" spans="1:128" s="94" customFormat="1" ht="37.9" customHeight="1">
      <c r="A5" s="109" t="s">
        <v>0</v>
      </c>
      <c r="B5" s="110" t="s">
        <v>21</v>
      </c>
      <c r="C5" s="99" t="s">
        <v>1</v>
      </c>
      <c r="D5" s="99" t="s">
        <v>444</v>
      </c>
      <c r="E5" s="84"/>
      <c r="F5" s="99" t="s">
        <v>2</v>
      </c>
      <c r="G5" s="99" t="s">
        <v>3</v>
      </c>
      <c r="H5" s="99" t="s">
        <v>4</v>
      </c>
      <c r="I5" s="99" t="s">
        <v>5</v>
      </c>
      <c r="J5" s="99" t="s">
        <v>6</v>
      </c>
      <c r="K5" s="99" t="s">
        <v>7</v>
      </c>
      <c r="L5" s="99" t="s">
        <v>8</v>
      </c>
      <c r="M5" s="99" t="s">
        <v>9</v>
      </c>
      <c r="N5" s="99" t="s">
        <v>10</v>
      </c>
      <c r="O5" s="99" t="s">
        <v>11</v>
      </c>
      <c r="P5" s="99" t="s">
        <v>12</v>
      </c>
      <c r="Q5" s="99"/>
      <c r="R5" s="99" t="s">
        <v>13</v>
      </c>
      <c r="S5" s="99"/>
      <c r="T5" s="111" t="s">
        <v>26</v>
      </c>
      <c r="U5" s="112"/>
      <c r="V5" s="113"/>
      <c r="W5" s="99" t="s">
        <v>14</v>
      </c>
      <c r="X5" s="99" t="s">
        <v>15</v>
      </c>
      <c r="Y5" s="99" t="s">
        <v>16</v>
      </c>
      <c r="Z5" s="99" t="s">
        <v>17</v>
      </c>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99"/>
      <c r="BJ5" s="99"/>
      <c r="BK5" s="99"/>
      <c r="BL5" s="99"/>
      <c r="BM5" s="99"/>
      <c r="BN5" s="99"/>
      <c r="BO5" s="99"/>
      <c r="BP5" s="99"/>
      <c r="BQ5" s="99"/>
      <c r="BR5" s="99"/>
      <c r="BS5" s="99"/>
      <c r="BT5" s="99"/>
      <c r="BU5" s="99"/>
      <c r="BV5" s="99"/>
      <c r="BW5" s="99"/>
      <c r="BX5" s="99"/>
      <c r="BY5" s="99"/>
      <c r="BZ5" s="99"/>
      <c r="CA5" s="99"/>
      <c r="CB5" s="99"/>
      <c r="CC5" s="99"/>
      <c r="CD5" s="99"/>
      <c r="CE5" s="99"/>
      <c r="CF5" s="99"/>
      <c r="CG5" s="99"/>
      <c r="CH5" s="99"/>
      <c r="CI5" s="99"/>
      <c r="CJ5" s="99"/>
      <c r="CK5" s="99"/>
      <c r="CL5" s="99"/>
      <c r="CM5" s="99"/>
      <c r="CN5" s="99"/>
      <c r="CO5" s="99"/>
      <c r="CP5" s="99"/>
      <c r="CQ5" s="99"/>
      <c r="CR5" s="99"/>
      <c r="CS5" s="99"/>
      <c r="CT5" s="99"/>
      <c r="CU5" s="99"/>
      <c r="CV5" s="99"/>
      <c r="CW5" s="99"/>
      <c r="CX5" s="20"/>
      <c r="CY5" s="20"/>
      <c r="CZ5" s="20"/>
      <c r="DA5" s="99" t="s">
        <v>402</v>
      </c>
      <c r="DB5" s="99" t="s">
        <v>18</v>
      </c>
      <c r="DC5" s="99" t="s">
        <v>19</v>
      </c>
      <c r="DD5" s="99"/>
      <c r="DE5" s="99"/>
      <c r="DF5" s="99"/>
      <c r="DG5" s="99"/>
      <c r="DH5" s="101" t="s">
        <v>445</v>
      </c>
      <c r="DI5" s="85" t="s">
        <v>513</v>
      </c>
      <c r="DJ5" s="85" t="s">
        <v>514</v>
      </c>
      <c r="DK5" s="101" t="s">
        <v>523</v>
      </c>
      <c r="DL5" s="101" t="s">
        <v>527</v>
      </c>
      <c r="DM5" s="99" t="s">
        <v>535</v>
      </c>
      <c r="DN5" s="97" t="s">
        <v>490</v>
      </c>
      <c r="DO5" s="106" t="s">
        <v>536</v>
      </c>
      <c r="DP5" s="106"/>
      <c r="DQ5" s="106"/>
      <c r="DR5" s="106"/>
      <c r="DS5" s="107" t="s">
        <v>537</v>
      </c>
      <c r="DT5" s="107"/>
      <c r="DV5" s="97" t="s">
        <v>538</v>
      </c>
      <c r="DW5" s="97" t="s">
        <v>488</v>
      </c>
      <c r="DX5" s="99" t="s">
        <v>20</v>
      </c>
    </row>
    <row r="6" spans="1:128" s="94" customFormat="1" ht="61.15" customHeight="1">
      <c r="A6" s="109"/>
      <c r="B6" s="110"/>
      <c r="C6" s="99"/>
      <c r="D6" s="99"/>
      <c r="E6" s="84" t="s">
        <v>22</v>
      </c>
      <c r="F6" s="99"/>
      <c r="G6" s="99"/>
      <c r="H6" s="99"/>
      <c r="I6" s="99"/>
      <c r="J6" s="99"/>
      <c r="K6" s="99"/>
      <c r="L6" s="99"/>
      <c r="M6" s="99"/>
      <c r="N6" s="99"/>
      <c r="O6" s="99"/>
      <c r="P6" s="21" t="s">
        <v>23</v>
      </c>
      <c r="Q6" s="21" t="s">
        <v>24</v>
      </c>
      <c r="R6" s="21" t="s">
        <v>23</v>
      </c>
      <c r="S6" s="21" t="s">
        <v>25</v>
      </c>
      <c r="T6" s="114"/>
      <c r="U6" s="115"/>
      <c r="V6" s="116"/>
      <c r="W6" s="99"/>
      <c r="X6" s="99"/>
      <c r="Y6" s="99"/>
      <c r="Z6" s="84" t="s">
        <v>26</v>
      </c>
      <c r="AA6" s="84" t="s">
        <v>27</v>
      </c>
      <c r="AB6" s="84" t="s">
        <v>28</v>
      </c>
      <c r="AC6" s="84" t="s">
        <v>29</v>
      </c>
      <c r="AD6" s="84" t="s">
        <v>30</v>
      </c>
      <c r="AE6" s="84" t="s">
        <v>31</v>
      </c>
      <c r="AF6" s="84" t="s">
        <v>32</v>
      </c>
      <c r="AG6" s="84" t="s">
        <v>33</v>
      </c>
      <c r="AH6" s="84" t="s">
        <v>34</v>
      </c>
      <c r="AI6" s="84" t="s">
        <v>35</v>
      </c>
      <c r="AJ6" s="84" t="s">
        <v>36</v>
      </c>
      <c r="AK6" s="84" t="s">
        <v>37</v>
      </c>
      <c r="AL6" s="84" t="s">
        <v>38</v>
      </c>
      <c r="AM6" s="84" t="s">
        <v>482</v>
      </c>
      <c r="AN6" s="84" t="s">
        <v>39</v>
      </c>
      <c r="AO6" s="84" t="s">
        <v>40</v>
      </c>
      <c r="AP6" s="84" t="s">
        <v>41</v>
      </c>
      <c r="AQ6" s="84" t="s">
        <v>42</v>
      </c>
      <c r="AR6" s="84" t="s">
        <v>483</v>
      </c>
      <c r="AS6" s="84" t="s">
        <v>408</v>
      </c>
      <c r="AT6" s="84" t="s">
        <v>44</v>
      </c>
      <c r="AU6" s="22" t="s">
        <v>484</v>
      </c>
      <c r="AV6" s="84" t="s">
        <v>27</v>
      </c>
      <c r="AW6" s="84" t="s">
        <v>45</v>
      </c>
      <c r="AX6" s="84" t="s">
        <v>46</v>
      </c>
      <c r="AY6" s="84" t="s">
        <v>47</v>
      </c>
      <c r="AZ6" s="84" t="s">
        <v>48</v>
      </c>
      <c r="BA6" s="84" t="s">
        <v>49</v>
      </c>
      <c r="BB6" s="84" t="s">
        <v>50</v>
      </c>
      <c r="BC6" s="84" t="s">
        <v>51</v>
      </c>
      <c r="BD6" s="84" t="s">
        <v>52</v>
      </c>
      <c r="BE6" s="84" t="s">
        <v>53</v>
      </c>
      <c r="BF6" s="84" t="s">
        <v>54</v>
      </c>
      <c r="BG6" s="84" t="s">
        <v>55</v>
      </c>
      <c r="BH6" s="84" t="s">
        <v>56</v>
      </c>
      <c r="BI6" s="84" t="s">
        <v>57</v>
      </c>
      <c r="BJ6" s="84" t="s">
        <v>58</v>
      </c>
      <c r="BK6" s="84" t="s">
        <v>59</v>
      </c>
      <c r="BL6" s="84" t="s">
        <v>60</v>
      </c>
      <c r="BM6" s="84" t="s">
        <v>61</v>
      </c>
      <c r="BN6" s="84" t="s">
        <v>62</v>
      </c>
      <c r="BO6" s="84" t="s">
        <v>63</v>
      </c>
      <c r="BP6" s="84" t="s">
        <v>64</v>
      </c>
      <c r="BQ6" s="84" t="s">
        <v>65</v>
      </c>
      <c r="BR6" s="84" t="s">
        <v>66</v>
      </c>
      <c r="BS6" s="84" t="s">
        <v>67</v>
      </c>
      <c r="BT6" s="84" t="s">
        <v>68</v>
      </c>
      <c r="BU6" s="84" t="s">
        <v>69</v>
      </c>
      <c r="BV6" s="84" t="s">
        <v>70</v>
      </c>
      <c r="BW6" s="84" t="s">
        <v>71</v>
      </c>
      <c r="BX6" s="84" t="s">
        <v>72</v>
      </c>
      <c r="BY6" s="84" t="s">
        <v>73</v>
      </c>
      <c r="BZ6" s="84" t="s">
        <v>74</v>
      </c>
      <c r="CA6" s="84" t="s">
        <v>75</v>
      </c>
      <c r="CB6" s="84" t="s">
        <v>76</v>
      </c>
      <c r="CC6" s="84" t="s">
        <v>77</v>
      </c>
      <c r="CD6" s="84" t="s">
        <v>78</v>
      </c>
      <c r="CE6" s="84" t="s">
        <v>79</v>
      </c>
      <c r="CF6" s="84" t="s">
        <v>80</v>
      </c>
      <c r="CG6" s="84" t="s">
        <v>81</v>
      </c>
      <c r="CH6" s="84" t="s">
        <v>82</v>
      </c>
      <c r="CI6" s="84" t="s">
        <v>83</v>
      </c>
      <c r="CJ6" s="84" t="s">
        <v>43</v>
      </c>
      <c r="CK6" s="84" t="s">
        <v>84</v>
      </c>
      <c r="CL6" s="84" t="s">
        <v>85</v>
      </c>
      <c r="CM6" s="84" t="s">
        <v>86</v>
      </c>
      <c r="CN6" s="84" t="s">
        <v>87</v>
      </c>
      <c r="CO6" s="84" t="s">
        <v>88</v>
      </c>
      <c r="CP6" s="84" t="s">
        <v>89</v>
      </c>
      <c r="CQ6" s="84" t="s">
        <v>90</v>
      </c>
      <c r="CR6" s="84" t="s">
        <v>91</v>
      </c>
      <c r="CS6" s="84" t="s">
        <v>92</v>
      </c>
      <c r="CT6" s="84" t="s">
        <v>93</v>
      </c>
      <c r="CU6" s="84" t="s">
        <v>94</v>
      </c>
      <c r="CV6" s="84" t="s">
        <v>95</v>
      </c>
      <c r="CW6" s="84" t="s">
        <v>96</v>
      </c>
      <c r="CX6" s="20" t="s">
        <v>486</v>
      </c>
      <c r="CY6" s="20" t="s">
        <v>485</v>
      </c>
      <c r="CZ6" s="20" t="s">
        <v>20</v>
      </c>
      <c r="DA6" s="99"/>
      <c r="DB6" s="99"/>
      <c r="DC6" s="84" t="s">
        <v>97</v>
      </c>
      <c r="DD6" s="84" t="s">
        <v>98</v>
      </c>
      <c r="DE6" s="84" t="s">
        <v>99</v>
      </c>
      <c r="DF6" s="84" t="s">
        <v>4</v>
      </c>
      <c r="DG6" s="23" t="s">
        <v>100</v>
      </c>
      <c r="DH6" s="102"/>
      <c r="DI6" s="86"/>
      <c r="DJ6" s="86"/>
      <c r="DK6" s="102"/>
      <c r="DL6" s="102"/>
      <c r="DM6" s="99"/>
      <c r="DN6" s="98"/>
      <c r="DO6" s="25" t="s">
        <v>524</v>
      </c>
      <c r="DP6" s="24" t="s">
        <v>539</v>
      </c>
      <c r="DQ6" s="25" t="s">
        <v>525</v>
      </c>
      <c r="DR6" s="25" t="s">
        <v>487</v>
      </c>
      <c r="DS6" s="23" t="s">
        <v>526</v>
      </c>
      <c r="DT6" s="23" t="s">
        <v>487</v>
      </c>
      <c r="DU6" s="61" t="s">
        <v>495</v>
      </c>
      <c r="DV6" s="100"/>
      <c r="DW6" s="98"/>
      <c r="DX6" s="99"/>
    </row>
    <row r="7" spans="1:128" s="37" customFormat="1" ht="26.25" customHeight="1">
      <c r="A7" s="26">
        <v>1</v>
      </c>
      <c r="B7" s="27" t="s">
        <v>101</v>
      </c>
      <c r="C7" s="89" t="s">
        <v>102</v>
      </c>
      <c r="D7" s="89" t="s">
        <v>102</v>
      </c>
      <c r="E7" s="87" t="s">
        <v>103</v>
      </c>
      <c r="F7" s="28" t="s">
        <v>104</v>
      </c>
      <c r="G7" s="26">
        <v>608</v>
      </c>
      <c r="H7" s="26">
        <v>49</v>
      </c>
      <c r="I7" s="29">
        <v>538.1</v>
      </c>
      <c r="J7" s="88"/>
      <c r="K7" s="26"/>
      <c r="L7" s="26"/>
      <c r="M7" s="29">
        <f t="shared" ref="M7:M69" si="0">(K7*486)+(L7*80)</f>
        <v>0</v>
      </c>
      <c r="N7" s="29"/>
      <c r="O7" s="29">
        <v>538.1</v>
      </c>
      <c r="P7" s="29">
        <f>Q7*4</f>
        <v>0</v>
      </c>
      <c r="Q7" s="29"/>
      <c r="R7" s="29">
        <f t="shared" ref="R7:R15" si="1">S7*2</f>
        <v>0</v>
      </c>
      <c r="S7" s="29"/>
      <c r="T7" s="29">
        <f t="shared" ref="T7:T35" si="2">U7+V7</f>
        <v>0</v>
      </c>
      <c r="U7" s="29"/>
      <c r="V7" s="29"/>
      <c r="W7" s="29">
        <f t="shared" ref="W7:W69" si="3">M7-N7+O7-Q7+P7-S7+R7-T7</f>
        <v>538.1</v>
      </c>
      <c r="X7" s="29"/>
      <c r="Y7" s="29">
        <f>SUM(AA7:CU7)</f>
        <v>538.1</v>
      </c>
      <c r="Z7" s="29">
        <f t="shared" ref="Z7:Z57" si="4">SUM(AA7:CW7)</f>
        <v>538.1</v>
      </c>
      <c r="AA7" s="29"/>
      <c r="AB7" s="29"/>
      <c r="AC7" s="29"/>
      <c r="AD7" s="29"/>
      <c r="AE7" s="29"/>
      <c r="AF7" s="29"/>
      <c r="AG7" s="29"/>
      <c r="AH7" s="29"/>
      <c r="AI7" s="29"/>
      <c r="AJ7" s="29"/>
      <c r="AK7" s="29"/>
      <c r="AL7" s="29"/>
      <c r="AM7" s="29"/>
      <c r="AN7" s="29">
        <v>538.1</v>
      </c>
      <c r="AO7" s="29"/>
      <c r="AP7" s="29"/>
      <c r="AQ7" s="29"/>
      <c r="AR7" s="29"/>
      <c r="AS7" s="29"/>
      <c r="AT7" s="29"/>
      <c r="AU7" s="30"/>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f t="shared" ref="CV7:CV70" si="5">P7</f>
        <v>0</v>
      </c>
      <c r="CW7" s="29">
        <f t="shared" ref="CW7:CW70" si="6">R7</f>
        <v>0</v>
      </c>
      <c r="CX7" s="31">
        <f t="shared" ref="CX7:CX38" si="7">CY7+DK7</f>
        <v>538.1</v>
      </c>
      <c r="CY7" s="31">
        <v>0</v>
      </c>
      <c r="CZ7" s="31">
        <f>I7-CX7</f>
        <v>0</v>
      </c>
      <c r="DA7" s="88" t="s">
        <v>403</v>
      </c>
      <c r="DB7" s="29">
        <v>538.1</v>
      </c>
      <c r="DC7" s="89" t="s">
        <v>102</v>
      </c>
      <c r="DD7" s="26" t="s">
        <v>105</v>
      </c>
      <c r="DE7" s="32" t="s">
        <v>106</v>
      </c>
      <c r="DF7" s="26">
        <v>4</v>
      </c>
      <c r="DG7" s="33">
        <v>538.1</v>
      </c>
      <c r="DH7" s="39" t="s">
        <v>102</v>
      </c>
      <c r="DI7" s="6" t="s">
        <v>508</v>
      </c>
      <c r="DJ7" s="7" t="s">
        <v>511</v>
      </c>
      <c r="DK7" s="33">
        <v>538.1</v>
      </c>
      <c r="DL7" s="71">
        <f>DK7/360</f>
        <v>1.4947222222222223</v>
      </c>
      <c r="DM7" s="68">
        <f t="shared" ref="DM7:DM70" si="8">ROUND(DK7*75000,-3)</f>
        <v>40358000</v>
      </c>
      <c r="DN7" s="68">
        <f t="shared" ref="DN7:DN70" si="9">ROUND(DK7*225000,-3)</f>
        <v>121073000</v>
      </c>
      <c r="DO7" s="35">
        <v>1</v>
      </c>
      <c r="DP7" s="33">
        <f t="shared" ref="DP7:DP38" si="10">DK7/W7*100</f>
        <v>100</v>
      </c>
      <c r="DQ7" s="35">
        <v>12</v>
      </c>
      <c r="DR7" s="69">
        <f>DO7*DQ7*30*17000</f>
        <v>6120000</v>
      </c>
      <c r="DS7" s="36">
        <v>538.1</v>
      </c>
      <c r="DT7" s="68">
        <f>ROUND(DS7*30000,-3)</f>
        <v>16143000</v>
      </c>
      <c r="DU7" s="36">
        <v>538.1</v>
      </c>
      <c r="DV7" s="68">
        <f>ROUND(DK7*10000,-3)</f>
        <v>5381000</v>
      </c>
      <c r="DW7" s="69">
        <f t="shared" ref="DW7:DW38" si="11">DM7+DN7+DR7+DT7+DV7</f>
        <v>189075000</v>
      </c>
      <c r="DX7" s="33">
        <f t="shared" ref="DX7:DX38" si="12">I7-CX7</f>
        <v>0</v>
      </c>
    </row>
    <row r="8" spans="1:128" s="38" customFormat="1" ht="26.25" customHeight="1">
      <c r="A8" s="26">
        <v>2</v>
      </c>
      <c r="B8" s="27" t="s">
        <v>107</v>
      </c>
      <c r="C8" s="89" t="s">
        <v>108</v>
      </c>
      <c r="D8" s="89" t="s">
        <v>111</v>
      </c>
      <c r="E8" s="87" t="s">
        <v>109</v>
      </c>
      <c r="F8" s="28" t="s">
        <v>104</v>
      </c>
      <c r="G8" s="26">
        <v>609</v>
      </c>
      <c r="H8" s="26">
        <v>49</v>
      </c>
      <c r="I8" s="29">
        <f>2.2+759.1</f>
        <v>761.30000000000007</v>
      </c>
      <c r="J8" s="88" t="s">
        <v>110</v>
      </c>
      <c r="K8" s="26">
        <v>5</v>
      </c>
      <c r="L8" s="26">
        <v>6</v>
      </c>
      <c r="M8" s="29">
        <f t="shared" si="0"/>
        <v>2910</v>
      </c>
      <c r="N8" s="29"/>
      <c r="O8" s="29"/>
      <c r="P8" s="29">
        <f>Q8*4</f>
        <v>0</v>
      </c>
      <c r="Q8" s="29"/>
      <c r="R8" s="29">
        <f t="shared" si="1"/>
        <v>0</v>
      </c>
      <c r="S8" s="29"/>
      <c r="T8" s="29">
        <f t="shared" si="2"/>
        <v>955.9</v>
      </c>
      <c r="U8" s="29">
        <v>17</v>
      </c>
      <c r="V8" s="29">
        <f>315+623.9</f>
        <v>938.9</v>
      </c>
      <c r="W8" s="29">
        <f t="shared" si="3"/>
        <v>1954.1</v>
      </c>
      <c r="X8" s="29">
        <f t="shared" ref="X8:X71" si="13">M8-Q8-S8-U8</f>
        <v>2893</v>
      </c>
      <c r="Y8" s="29">
        <f t="shared" ref="Y8:Y71" si="14">SUM(AA8:CU8)</f>
        <v>2893</v>
      </c>
      <c r="Z8" s="29">
        <f t="shared" si="4"/>
        <v>2893</v>
      </c>
      <c r="AA8" s="29"/>
      <c r="AB8" s="29"/>
      <c r="AC8" s="29"/>
      <c r="AD8" s="29"/>
      <c r="AE8" s="29"/>
      <c r="AF8" s="29"/>
      <c r="AG8" s="29"/>
      <c r="AH8" s="29"/>
      <c r="AI8" s="29"/>
      <c r="AJ8" s="29"/>
      <c r="AK8" s="29"/>
      <c r="AL8" s="29"/>
      <c r="AM8" s="29"/>
      <c r="AN8" s="29">
        <v>1383</v>
      </c>
      <c r="AO8" s="29"/>
      <c r="AP8" s="29"/>
      <c r="AQ8" s="29"/>
      <c r="AR8" s="29"/>
      <c r="AS8" s="29"/>
      <c r="AT8" s="29"/>
      <c r="AU8" s="30"/>
      <c r="AV8" s="29"/>
      <c r="AW8" s="29"/>
      <c r="AX8" s="29"/>
      <c r="AY8" s="29"/>
      <c r="AZ8" s="29"/>
      <c r="BA8" s="29"/>
      <c r="BB8" s="29">
        <v>609</v>
      </c>
      <c r="BC8" s="29">
        <v>226</v>
      </c>
      <c r="BD8" s="29">
        <v>360</v>
      </c>
      <c r="BE8" s="29"/>
      <c r="BF8" s="29">
        <v>315</v>
      </c>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f t="shared" si="5"/>
        <v>0</v>
      </c>
      <c r="CW8" s="29">
        <f t="shared" si="6"/>
        <v>0</v>
      </c>
      <c r="CX8" s="31">
        <f t="shared" si="7"/>
        <v>761.3</v>
      </c>
      <c r="CY8" s="31">
        <v>2.2000000000000002</v>
      </c>
      <c r="CZ8" s="31">
        <f t="shared" ref="CZ8:CZ71" si="15">I8-CX8</f>
        <v>0</v>
      </c>
      <c r="DA8" s="88" t="s">
        <v>403</v>
      </c>
      <c r="DB8" s="29">
        <f>1383-623.9</f>
        <v>759.1</v>
      </c>
      <c r="DC8" s="89"/>
      <c r="DD8" s="26"/>
      <c r="DE8" s="26"/>
      <c r="DF8" s="26"/>
      <c r="DG8" s="33"/>
      <c r="DH8" s="39" t="s">
        <v>111</v>
      </c>
      <c r="DI8" s="6" t="s">
        <v>508</v>
      </c>
      <c r="DJ8" s="7" t="s">
        <v>511</v>
      </c>
      <c r="DK8" s="33">
        <v>759.09999999999991</v>
      </c>
      <c r="DL8" s="71">
        <f t="shared" ref="DL8:DL71" si="16">DK8/360</f>
        <v>2.1086111111111108</v>
      </c>
      <c r="DM8" s="68">
        <f t="shared" si="8"/>
        <v>56933000</v>
      </c>
      <c r="DN8" s="68">
        <f t="shared" si="9"/>
        <v>170798000</v>
      </c>
      <c r="DO8" s="35">
        <v>9</v>
      </c>
      <c r="DP8" s="33">
        <f t="shared" si="10"/>
        <v>38.846527813315589</v>
      </c>
      <c r="DQ8" s="35">
        <v>6</v>
      </c>
      <c r="DR8" s="69">
        <f t="shared" ref="DR8:DR71" si="17">DO8*DQ8*30*17000</f>
        <v>27540000</v>
      </c>
      <c r="DS8" s="33">
        <v>759.09999999999991</v>
      </c>
      <c r="DT8" s="68">
        <f t="shared" ref="DT8:DT71" si="18">ROUND(DS8*30000,-3)</f>
        <v>22773000</v>
      </c>
      <c r="DU8" s="36">
        <f>2.2+759.1</f>
        <v>761.30000000000007</v>
      </c>
      <c r="DV8" s="68">
        <f t="shared" ref="DV8:DV71" si="19">ROUND(DK8*10000,-3)</f>
        <v>7591000</v>
      </c>
      <c r="DW8" s="69">
        <f t="shared" si="11"/>
        <v>285635000</v>
      </c>
      <c r="DX8" s="33">
        <f t="shared" si="12"/>
        <v>0</v>
      </c>
    </row>
    <row r="9" spans="1:128" s="38" customFormat="1" ht="33.75" customHeight="1">
      <c r="A9" s="26">
        <v>3</v>
      </c>
      <c r="B9" s="27" t="s">
        <v>112</v>
      </c>
      <c r="C9" s="89" t="s">
        <v>113</v>
      </c>
      <c r="D9" s="89" t="s">
        <v>446</v>
      </c>
      <c r="E9" s="87" t="s">
        <v>109</v>
      </c>
      <c r="F9" s="28" t="s">
        <v>104</v>
      </c>
      <c r="G9" s="26">
        <v>610</v>
      </c>
      <c r="H9" s="26">
        <v>49</v>
      </c>
      <c r="I9" s="29">
        <v>1206.5</v>
      </c>
      <c r="J9" s="88" t="s">
        <v>114</v>
      </c>
      <c r="K9" s="26">
        <v>4</v>
      </c>
      <c r="L9" s="26">
        <v>4</v>
      </c>
      <c r="M9" s="29">
        <f t="shared" si="0"/>
        <v>2264</v>
      </c>
      <c r="N9" s="29"/>
      <c r="O9" s="29"/>
      <c r="P9" s="29">
        <v>225</v>
      </c>
      <c r="Q9" s="29">
        <v>56</v>
      </c>
      <c r="R9" s="29">
        <f t="shared" si="1"/>
        <v>30</v>
      </c>
      <c r="S9" s="29">
        <v>15</v>
      </c>
      <c r="T9" s="29">
        <f t="shared" si="2"/>
        <v>598.6</v>
      </c>
      <c r="U9" s="29">
        <v>22</v>
      </c>
      <c r="V9" s="29">
        <f>393.6+183</f>
        <v>576.6</v>
      </c>
      <c r="W9" s="29">
        <f t="shared" si="3"/>
        <v>1849.4</v>
      </c>
      <c r="X9" s="29">
        <f t="shared" si="13"/>
        <v>2171</v>
      </c>
      <c r="Y9" s="29">
        <f t="shared" si="14"/>
        <v>2171</v>
      </c>
      <c r="Z9" s="29">
        <f t="shared" si="4"/>
        <v>2426</v>
      </c>
      <c r="AA9" s="29"/>
      <c r="AB9" s="29"/>
      <c r="AC9" s="29"/>
      <c r="AD9" s="29"/>
      <c r="AE9" s="29"/>
      <c r="AF9" s="29"/>
      <c r="AG9" s="29"/>
      <c r="AH9" s="29"/>
      <c r="AI9" s="29"/>
      <c r="AJ9" s="29"/>
      <c r="AK9" s="29"/>
      <c r="AL9" s="29"/>
      <c r="AM9" s="29"/>
      <c r="AN9" s="29">
        <v>1600</v>
      </c>
      <c r="AO9" s="29"/>
      <c r="AP9" s="29"/>
      <c r="AQ9" s="29"/>
      <c r="AR9" s="29"/>
      <c r="AS9" s="29"/>
      <c r="AT9" s="29"/>
      <c r="AU9" s="30">
        <v>183</v>
      </c>
      <c r="AV9" s="29"/>
      <c r="AW9" s="29"/>
      <c r="AX9" s="29"/>
      <c r="AY9" s="29"/>
      <c r="AZ9" s="29"/>
      <c r="BA9" s="29"/>
      <c r="BB9" s="29"/>
      <c r="BC9" s="29">
        <v>175</v>
      </c>
      <c r="BD9" s="29">
        <v>213</v>
      </c>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f t="shared" si="5"/>
        <v>225</v>
      </c>
      <c r="CW9" s="29">
        <f t="shared" si="6"/>
        <v>30</v>
      </c>
      <c r="CX9" s="31">
        <f t="shared" si="7"/>
        <v>1206.5</v>
      </c>
      <c r="CY9" s="31">
        <v>0</v>
      </c>
      <c r="CZ9" s="31">
        <f t="shared" si="15"/>
        <v>0</v>
      </c>
      <c r="DA9" s="88" t="s">
        <v>403</v>
      </c>
      <c r="DB9" s="29">
        <f>1600-393.6</f>
        <v>1206.4000000000001</v>
      </c>
      <c r="DC9" s="89"/>
      <c r="DD9" s="26"/>
      <c r="DE9" s="26"/>
      <c r="DF9" s="26"/>
      <c r="DG9" s="33"/>
      <c r="DH9" s="39" t="s">
        <v>446</v>
      </c>
      <c r="DI9" s="6" t="s">
        <v>508</v>
      </c>
      <c r="DJ9" s="7" t="s">
        <v>511</v>
      </c>
      <c r="DK9" s="33">
        <v>1206.5</v>
      </c>
      <c r="DL9" s="71">
        <f t="shared" si="16"/>
        <v>3.3513888888888888</v>
      </c>
      <c r="DM9" s="68">
        <f t="shared" si="8"/>
        <v>90488000</v>
      </c>
      <c r="DN9" s="68">
        <f t="shared" si="9"/>
        <v>271463000</v>
      </c>
      <c r="DO9" s="35">
        <v>5</v>
      </c>
      <c r="DP9" s="33">
        <f t="shared" si="10"/>
        <v>65.237374283551418</v>
      </c>
      <c r="DQ9" s="35">
        <v>6</v>
      </c>
      <c r="DR9" s="69">
        <f t="shared" si="17"/>
        <v>15300000</v>
      </c>
      <c r="DS9" s="33">
        <v>1206.5</v>
      </c>
      <c r="DT9" s="68">
        <f t="shared" si="18"/>
        <v>36195000</v>
      </c>
      <c r="DU9" s="36">
        <v>1206.5</v>
      </c>
      <c r="DV9" s="68">
        <f t="shared" si="19"/>
        <v>12065000</v>
      </c>
      <c r="DW9" s="69">
        <f t="shared" si="11"/>
        <v>425511000</v>
      </c>
      <c r="DX9" s="33">
        <f t="shared" si="12"/>
        <v>0</v>
      </c>
    </row>
    <row r="10" spans="1:128" s="38" customFormat="1" ht="43.5" customHeight="1">
      <c r="A10" s="26">
        <v>4</v>
      </c>
      <c r="B10" s="27" t="s">
        <v>115</v>
      </c>
      <c r="C10" s="89" t="s">
        <v>116</v>
      </c>
      <c r="D10" s="88" t="s">
        <v>410</v>
      </c>
      <c r="E10" s="87" t="s">
        <v>109</v>
      </c>
      <c r="F10" s="28" t="s">
        <v>104</v>
      </c>
      <c r="G10" s="26">
        <v>611</v>
      </c>
      <c r="H10" s="26">
        <v>49</v>
      </c>
      <c r="I10" s="29">
        <f>4.5+969.6</f>
        <v>974.1</v>
      </c>
      <c r="J10" s="88" t="s">
        <v>117</v>
      </c>
      <c r="K10" s="87">
        <v>3</v>
      </c>
      <c r="L10" s="87">
        <v>1</v>
      </c>
      <c r="M10" s="29">
        <f t="shared" si="0"/>
        <v>1538</v>
      </c>
      <c r="N10" s="29"/>
      <c r="O10" s="29"/>
      <c r="P10" s="29">
        <f t="shared" ref="P10:P15" si="20">Q10*4</f>
        <v>0</v>
      </c>
      <c r="Q10" s="29"/>
      <c r="R10" s="29">
        <f t="shared" si="1"/>
        <v>0</v>
      </c>
      <c r="S10" s="29"/>
      <c r="T10" s="29">
        <f t="shared" si="2"/>
        <v>239.4</v>
      </c>
      <c r="U10" s="29">
        <v>14</v>
      </c>
      <c r="V10" s="29">
        <f>136.4+89</f>
        <v>225.4</v>
      </c>
      <c r="W10" s="29">
        <f t="shared" si="3"/>
        <v>1298.5999999999999</v>
      </c>
      <c r="X10" s="29">
        <f t="shared" si="13"/>
        <v>1524</v>
      </c>
      <c r="Y10" s="29">
        <f t="shared" si="14"/>
        <v>1524</v>
      </c>
      <c r="Z10" s="29">
        <f t="shared" si="4"/>
        <v>1524</v>
      </c>
      <c r="AA10" s="29"/>
      <c r="AB10" s="29"/>
      <c r="AC10" s="29"/>
      <c r="AD10" s="29"/>
      <c r="AE10" s="29"/>
      <c r="AF10" s="29"/>
      <c r="AG10" s="29"/>
      <c r="AH10" s="29"/>
      <c r="AI10" s="29"/>
      <c r="AJ10" s="29"/>
      <c r="AK10" s="29"/>
      <c r="AL10" s="29"/>
      <c r="AM10" s="29"/>
      <c r="AN10" s="29">
        <v>1106</v>
      </c>
      <c r="AO10" s="29"/>
      <c r="AP10" s="29"/>
      <c r="AQ10" s="29"/>
      <c r="AR10" s="29"/>
      <c r="AS10" s="29"/>
      <c r="AT10" s="29"/>
      <c r="AU10" s="30">
        <v>89</v>
      </c>
      <c r="AV10" s="29"/>
      <c r="AW10" s="29"/>
      <c r="AX10" s="29"/>
      <c r="AY10" s="29"/>
      <c r="AZ10" s="29"/>
      <c r="BA10" s="29"/>
      <c r="BB10" s="29"/>
      <c r="BC10" s="29"/>
      <c r="BD10" s="29">
        <v>329</v>
      </c>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f t="shared" si="5"/>
        <v>0</v>
      </c>
      <c r="CW10" s="29">
        <f t="shared" si="6"/>
        <v>0</v>
      </c>
      <c r="CX10" s="31">
        <f t="shared" si="7"/>
        <v>974.09999999999991</v>
      </c>
      <c r="CY10" s="31">
        <v>4.5</v>
      </c>
      <c r="CZ10" s="31">
        <f t="shared" si="15"/>
        <v>0</v>
      </c>
      <c r="DA10" s="88" t="s">
        <v>403</v>
      </c>
      <c r="DB10" s="29">
        <f>1106-136.4</f>
        <v>969.6</v>
      </c>
      <c r="DC10" s="89"/>
      <c r="DD10" s="26"/>
      <c r="DE10" s="26"/>
      <c r="DF10" s="26"/>
      <c r="DG10" s="33"/>
      <c r="DH10" s="45" t="s">
        <v>519</v>
      </c>
      <c r="DI10" s="6" t="s">
        <v>508</v>
      </c>
      <c r="DJ10" s="7" t="s">
        <v>511</v>
      </c>
      <c r="DK10" s="33">
        <v>969.59999999999991</v>
      </c>
      <c r="DL10" s="71">
        <f t="shared" si="16"/>
        <v>2.6933333333333329</v>
      </c>
      <c r="DM10" s="68">
        <f t="shared" si="8"/>
        <v>72720000</v>
      </c>
      <c r="DN10" s="68">
        <f t="shared" si="9"/>
        <v>218160000</v>
      </c>
      <c r="DO10" s="35">
        <v>0</v>
      </c>
      <c r="DP10" s="33">
        <f t="shared" si="10"/>
        <v>74.665023871862005</v>
      </c>
      <c r="DQ10" s="35">
        <v>12</v>
      </c>
      <c r="DR10" s="69">
        <f t="shared" si="17"/>
        <v>0</v>
      </c>
      <c r="DS10" s="33">
        <v>969.59999999999991</v>
      </c>
      <c r="DT10" s="68">
        <f t="shared" si="18"/>
        <v>29088000</v>
      </c>
      <c r="DU10" s="36">
        <f>4.5+969.6</f>
        <v>974.1</v>
      </c>
      <c r="DV10" s="68">
        <f t="shared" si="19"/>
        <v>9696000</v>
      </c>
      <c r="DW10" s="69">
        <f t="shared" si="11"/>
        <v>329664000</v>
      </c>
      <c r="DX10" s="33">
        <f t="shared" si="12"/>
        <v>0</v>
      </c>
    </row>
    <row r="11" spans="1:128" s="38" customFormat="1" ht="24" customHeight="1">
      <c r="A11" s="26">
        <v>5</v>
      </c>
      <c r="B11" s="27" t="s">
        <v>118</v>
      </c>
      <c r="C11" s="89" t="s">
        <v>119</v>
      </c>
      <c r="D11" s="88" t="s">
        <v>121</v>
      </c>
      <c r="E11" s="87" t="s">
        <v>109</v>
      </c>
      <c r="F11" s="28" t="s">
        <v>104</v>
      </c>
      <c r="G11" s="26">
        <v>612</v>
      </c>
      <c r="H11" s="26">
        <v>49</v>
      </c>
      <c r="I11" s="29">
        <f>1.5+1628.6</f>
        <v>1630.1</v>
      </c>
      <c r="J11" s="88" t="s">
        <v>120</v>
      </c>
      <c r="K11" s="26">
        <v>4</v>
      </c>
      <c r="L11" s="26">
        <v>2</v>
      </c>
      <c r="M11" s="29">
        <f t="shared" si="0"/>
        <v>2104</v>
      </c>
      <c r="N11" s="29"/>
      <c r="O11" s="29"/>
      <c r="P11" s="29">
        <f t="shared" si="20"/>
        <v>0</v>
      </c>
      <c r="Q11" s="29"/>
      <c r="R11" s="29">
        <f t="shared" si="1"/>
        <v>0</v>
      </c>
      <c r="S11" s="29"/>
      <c r="T11" s="29">
        <f t="shared" si="2"/>
        <v>169.4</v>
      </c>
      <c r="U11" s="29">
        <v>21</v>
      </c>
      <c r="V11" s="29">
        <f>33.4+115</f>
        <v>148.4</v>
      </c>
      <c r="W11" s="29">
        <f t="shared" si="3"/>
        <v>1934.6</v>
      </c>
      <c r="X11" s="29">
        <f t="shared" si="13"/>
        <v>2083</v>
      </c>
      <c r="Y11" s="29">
        <f t="shared" si="14"/>
        <v>2083</v>
      </c>
      <c r="Z11" s="29">
        <f t="shared" si="4"/>
        <v>2083</v>
      </c>
      <c r="AA11" s="29"/>
      <c r="AB11" s="29"/>
      <c r="AC11" s="29"/>
      <c r="AD11" s="29"/>
      <c r="AE11" s="29"/>
      <c r="AF11" s="29"/>
      <c r="AG11" s="29"/>
      <c r="AH11" s="29"/>
      <c r="AI11" s="29"/>
      <c r="AJ11" s="29"/>
      <c r="AK11" s="29"/>
      <c r="AL11" s="29"/>
      <c r="AM11" s="29"/>
      <c r="AN11" s="29">
        <v>1662</v>
      </c>
      <c r="AO11" s="29"/>
      <c r="AP11" s="29"/>
      <c r="AQ11" s="29"/>
      <c r="AR11" s="29"/>
      <c r="AS11" s="29"/>
      <c r="AT11" s="29"/>
      <c r="AU11" s="30"/>
      <c r="AV11" s="29"/>
      <c r="AW11" s="29"/>
      <c r="AX11" s="29"/>
      <c r="AY11" s="29"/>
      <c r="AZ11" s="29"/>
      <c r="BA11" s="29"/>
      <c r="BB11" s="29"/>
      <c r="BC11" s="29">
        <f>19+287</f>
        <v>306</v>
      </c>
      <c r="BD11" s="29"/>
      <c r="BE11" s="29"/>
      <c r="BF11" s="29">
        <v>115</v>
      </c>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f t="shared" si="5"/>
        <v>0</v>
      </c>
      <c r="CW11" s="29">
        <f t="shared" si="6"/>
        <v>0</v>
      </c>
      <c r="CX11" s="31">
        <f t="shared" si="7"/>
        <v>1630.1000000000001</v>
      </c>
      <c r="CY11" s="31">
        <v>1.5</v>
      </c>
      <c r="CZ11" s="31">
        <f t="shared" si="15"/>
        <v>0</v>
      </c>
      <c r="DA11" s="88" t="s">
        <v>403</v>
      </c>
      <c r="DB11" s="29">
        <f>1662-33.4</f>
        <v>1628.6</v>
      </c>
      <c r="DC11" s="89"/>
      <c r="DD11" s="26"/>
      <c r="DE11" s="26"/>
      <c r="DF11" s="26"/>
      <c r="DG11" s="33"/>
      <c r="DH11" s="45" t="s">
        <v>121</v>
      </c>
      <c r="DI11" s="6" t="s">
        <v>508</v>
      </c>
      <c r="DJ11" s="7" t="s">
        <v>511</v>
      </c>
      <c r="DK11" s="33">
        <v>1628.6000000000001</v>
      </c>
      <c r="DL11" s="71">
        <f t="shared" si="16"/>
        <v>4.5238888888888891</v>
      </c>
      <c r="DM11" s="68">
        <f t="shared" si="8"/>
        <v>122145000</v>
      </c>
      <c r="DN11" s="68">
        <f t="shared" si="9"/>
        <v>366435000</v>
      </c>
      <c r="DO11" s="35">
        <v>2</v>
      </c>
      <c r="DP11" s="33">
        <f t="shared" si="10"/>
        <v>84.182776801405993</v>
      </c>
      <c r="DQ11" s="35">
        <v>12</v>
      </c>
      <c r="DR11" s="69">
        <f t="shared" si="17"/>
        <v>12240000</v>
      </c>
      <c r="DS11" s="33">
        <v>1628.6000000000001</v>
      </c>
      <c r="DT11" s="68">
        <f t="shared" si="18"/>
        <v>48858000</v>
      </c>
      <c r="DU11" s="36">
        <f>1.5+1628.6</f>
        <v>1630.1</v>
      </c>
      <c r="DV11" s="68">
        <f t="shared" si="19"/>
        <v>16286000</v>
      </c>
      <c r="DW11" s="69">
        <f t="shared" si="11"/>
        <v>565964000</v>
      </c>
      <c r="DX11" s="33">
        <f t="shared" si="12"/>
        <v>0</v>
      </c>
    </row>
    <row r="12" spans="1:128" s="38" customFormat="1" ht="66" customHeight="1">
      <c r="A12" s="26">
        <v>6</v>
      </c>
      <c r="B12" s="27" t="s">
        <v>122</v>
      </c>
      <c r="C12" s="89" t="s">
        <v>123</v>
      </c>
      <c r="D12" s="88" t="s">
        <v>411</v>
      </c>
      <c r="E12" s="87" t="s">
        <v>109</v>
      </c>
      <c r="F12" s="28" t="s">
        <v>104</v>
      </c>
      <c r="G12" s="26">
        <v>613</v>
      </c>
      <c r="H12" s="26">
        <v>49</v>
      </c>
      <c r="I12" s="29">
        <f>1+1607.1</f>
        <v>1608.1</v>
      </c>
      <c r="J12" s="88" t="s">
        <v>124</v>
      </c>
      <c r="K12" s="87">
        <v>5</v>
      </c>
      <c r="L12" s="87">
        <v>4</v>
      </c>
      <c r="M12" s="29">
        <f t="shared" si="0"/>
        <v>2750</v>
      </c>
      <c r="N12" s="29"/>
      <c r="O12" s="29"/>
      <c r="P12" s="29">
        <f t="shared" si="20"/>
        <v>0</v>
      </c>
      <c r="Q12" s="29"/>
      <c r="R12" s="29">
        <f t="shared" si="1"/>
        <v>0</v>
      </c>
      <c r="S12" s="29"/>
      <c r="T12" s="29">
        <f t="shared" si="2"/>
        <v>890.9</v>
      </c>
      <c r="U12" s="29">
        <v>16</v>
      </c>
      <c r="V12" s="29">
        <f>494+228+152.9</f>
        <v>874.9</v>
      </c>
      <c r="W12" s="29">
        <f t="shared" si="3"/>
        <v>1859.1</v>
      </c>
      <c r="X12" s="29">
        <f t="shared" si="13"/>
        <v>2734</v>
      </c>
      <c r="Y12" s="29">
        <f t="shared" si="14"/>
        <v>2734</v>
      </c>
      <c r="Z12" s="29">
        <f t="shared" si="4"/>
        <v>2734</v>
      </c>
      <c r="AA12" s="29"/>
      <c r="AB12" s="29"/>
      <c r="AC12" s="29"/>
      <c r="AD12" s="29"/>
      <c r="AE12" s="29"/>
      <c r="AF12" s="29"/>
      <c r="AG12" s="29"/>
      <c r="AH12" s="29"/>
      <c r="AI12" s="29"/>
      <c r="AJ12" s="29"/>
      <c r="AK12" s="29"/>
      <c r="AL12" s="29"/>
      <c r="AM12" s="29"/>
      <c r="AN12" s="29">
        <v>1760</v>
      </c>
      <c r="AO12" s="29"/>
      <c r="AP12" s="29"/>
      <c r="AQ12" s="29"/>
      <c r="AR12" s="29"/>
      <c r="AS12" s="29"/>
      <c r="AT12" s="29"/>
      <c r="AU12" s="30"/>
      <c r="AV12" s="29"/>
      <c r="AW12" s="29"/>
      <c r="AX12" s="29"/>
      <c r="AY12" s="29"/>
      <c r="AZ12" s="29"/>
      <c r="BA12" s="29">
        <v>494</v>
      </c>
      <c r="BB12" s="29"/>
      <c r="BC12" s="29">
        <v>252</v>
      </c>
      <c r="BD12" s="29"/>
      <c r="BE12" s="29"/>
      <c r="BF12" s="29">
        <v>228</v>
      </c>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f t="shared" si="5"/>
        <v>0</v>
      </c>
      <c r="CW12" s="29">
        <f t="shared" si="6"/>
        <v>0</v>
      </c>
      <c r="CX12" s="31">
        <f t="shared" si="7"/>
        <v>1608.1</v>
      </c>
      <c r="CY12" s="31">
        <v>1</v>
      </c>
      <c r="CZ12" s="31">
        <f t="shared" si="15"/>
        <v>0</v>
      </c>
      <c r="DA12" s="88" t="s">
        <v>403</v>
      </c>
      <c r="DB12" s="29">
        <f>1760-152.9</f>
        <v>1607.1</v>
      </c>
      <c r="DC12" s="89"/>
      <c r="DD12" s="26"/>
      <c r="DE12" s="26"/>
      <c r="DF12" s="26"/>
      <c r="DG12" s="33"/>
      <c r="DH12" s="45" t="s">
        <v>496</v>
      </c>
      <c r="DI12" s="6" t="s">
        <v>508</v>
      </c>
      <c r="DJ12" s="7" t="s">
        <v>511</v>
      </c>
      <c r="DK12" s="33">
        <v>1607.1</v>
      </c>
      <c r="DL12" s="71">
        <f t="shared" si="16"/>
        <v>4.4641666666666664</v>
      </c>
      <c r="DM12" s="68">
        <f t="shared" si="8"/>
        <v>120533000</v>
      </c>
      <c r="DN12" s="68">
        <f t="shared" si="9"/>
        <v>361598000</v>
      </c>
      <c r="DO12" s="35">
        <v>4</v>
      </c>
      <c r="DP12" s="33">
        <f t="shared" si="10"/>
        <v>86.445054058415366</v>
      </c>
      <c r="DQ12" s="35">
        <v>12</v>
      </c>
      <c r="DR12" s="69">
        <f t="shared" si="17"/>
        <v>24480000</v>
      </c>
      <c r="DS12" s="33">
        <v>1607.1</v>
      </c>
      <c r="DT12" s="68">
        <f t="shared" si="18"/>
        <v>48213000</v>
      </c>
      <c r="DU12" s="36">
        <f>1+1607.1</f>
        <v>1608.1</v>
      </c>
      <c r="DV12" s="68">
        <f t="shared" si="19"/>
        <v>16071000</v>
      </c>
      <c r="DW12" s="69">
        <f t="shared" si="11"/>
        <v>570895000</v>
      </c>
      <c r="DX12" s="33">
        <f t="shared" si="12"/>
        <v>0</v>
      </c>
    </row>
    <row r="13" spans="1:128" s="38" customFormat="1" ht="66.75" customHeight="1">
      <c r="A13" s="26">
        <v>7</v>
      </c>
      <c r="B13" s="27" t="s">
        <v>125</v>
      </c>
      <c r="C13" s="89" t="s">
        <v>126</v>
      </c>
      <c r="D13" s="88" t="s">
        <v>412</v>
      </c>
      <c r="E13" s="87" t="s">
        <v>109</v>
      </c>
      <c r="F13" s="28" t="s">
        <v>104</v>
      </c>
      <c r="G13" s="26">
        <v>614</v>
      </c>
      <c r="H13" s="26">
        <v>49</v>
      </c>
      <c r="I13" s="29">
        <v>354.5</v>
      </c>
      <c r="J13" s="88" t="s">
        <v>127</v>
      </c>
      <c r="K13" s="26">
        <v>1</v>
      </c>
      <c r="L13" s="26">
        <v>1</v>
      </c>
      <c r="M13" s="29">
        <f t="shared" si="0"/>
        <v>566</v>
      </c>
      <c r="N13" s="29"/>
      <c r="O13" s="29"/>
      <c r="P13" s="29">
        <f t="shared" si="20"/>
        <v>0</v>
      </c>
      <c r="Q13" s="29"/>
      <c r="R13" s="29">
        <f t="shared" si="1"/>
        <v>0</v>
      </c>
      <c r="S13" s="29"/>
      <c r="T13" s="29">
        <f t="shared" si="2"/>
        <v>13.7</v>
      </c>
      <c r="U13" s="29">
        <v>5</v>
      </c>
      <c r="V13" s="29">
        <v>8.6999999999999993</v>
      </c>
      <c r="W13" s="29">
        <f t="shared" si="3"/>
        <v>552.29999999999995</v>
      </c>
      <c r="X13" s="29">
        <f t="shared" si="13"/>
        <v>561</v>
      </c>
      <c r="Y13" s="29">
        <f t="shared" si="14"/>
        <v>561</v>
      </c>
      <c r="Z13" s="29">
        <f t="shared" si="4"/>
        <v>561</v>
      </c>
      <c r="AA13" s="29"/>
      <c r="AB13" s="29"/>
      <c r="AC13" s="29"/>
      <c r="AD13" s="29"/>
      <c r="AE13" s="29"/>
      <c r="AF13" s="29"/>
      <c r="AG13" s="29"/>
      <c r="AH13" s="29"/>
      <c r="AI13" s="29"/>
      <c r="AJ13" s="29"/>
      <c r="AK13" s="29"/>
      <c r="AL13" s="29"/>
      <c r="AM13" s="29"/>
      <c r="AN13" s="29"/>
      <c r="AO13" s="29"/>
      <c r="AP13" s="29">
        <v>363</v>
      </c>
      <c r="AQ13" s="29"/>
      <c r="AR13" s="29"/>
      <c r="AS13" s="29"/>
      <c r="AT13" s="29"/>
      <c r="AU13" s="30"/>
      <c r="AV13" s="29"/>
      <c r="AW13" s="29"/>
      <c r="AX13" s="29"/>
      <c r="AY13" s="29"/>
      <c r="AZ13" s="29"/>
      <c r="BA13" s="29"/>
      <c r="BB13" s="29"/>
      <c r="BC13" s="29">
        <v>77</v>
      </c>
      <c r="BD13" s="29">
        <v>121</v>
      </c>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f t="shared" si="5"/>
        <v>0</v>
      </c>
      <c r="CW13" s="29">
        <f t="shared" si="6"/>
        <v>0</v>
      </c>
      <c r="CX13" s="31">
        <f t="shared" si="7"/>
        <v>354.5</v>
      </c>
      <c r="CY13" s="31">
        <v>0</v>
      </c>
      <c r="CZ13" s="31">
        <f t="shared" si="15"/>
        <v>0</v>
      </c>
      <c r="DA13" s="88" t="s">
        <v>403</v>
      </c>
      <c r="DB13" s="29">
        <f>363-8.7</f>
        <v>354.3</v>
      </c>
      <c r="DC13" s="89"/>
      <c r="DD13" s="26"/>
      <c r="DE13" s="26"/>
      <c r="DF13" s="26"/>
      <c r="DG13" s="33"/>
      <c r="DH13" s="45" t="s">
        <v>412</v>
      </c>
      <c r="DI13" s="6" t="s">
        <v>508</v>
      </c>
      <c r="DJ13" s="7" t="s">
        <v>511</v>
      </c>
      <c r="DK13" s="33">
        <v>354.5</v>
      </c>
      <c r="DL13" s="71">
        <f t="shared" si="16"/>
        <v>0.98472222222222228</v>
      </c>
      <c r="DM13" s="68">
        <f t="shared" si="8"/>
        <v>26588000</v>
      </c>
      <c r="DN13" s="68">
        <f t="shared" si="9"/>
        <v>79763000</v>
      </c>
      <c r="DO13" s="35">
        <v>0</v>
      </c>
      <c r="DP13" s="33">
        <f t="shared" si="10"/>
        <v>64.186130726054685</v>
      </c>
      <c r="DQ13" s="35">
        <v>6</v>
      </c>
      <c r="DR13" s="69">
        <f t="shared" si="17"/>
        <v>0</v>
      </c>
      <c r="DS13" s="33">
        <v>354.5</v>
      </c>
      <c r="DT13" s="68">
        <f t="shared" si="18"/>
        <v>10635000</v>
      </c>
      <c r="DU13" s="36">
        <v>354.5</v>
      </c>
      <c r="DV13" s="68">
        <f t="shared" si="19"/>
        <v>3545000</v>
      </c>
      <c r="DW13" s="69">
        <f t="shared" si="11"/>
        <v>120531000</v>
      </c>
      <c r="DX13" s="33">
        <f t="shared" si="12"/>
        <v>0</v>
      </c>
    </row>
    <row r="14" spans="1:128" s="38" customFormat="1" ht="36.6" customHeight="1">
      <c r="A14" s="26">
        <v>8</v>
      </c>
      <c r="B14" s="27" t="s">
        <v>128</v>
      </c>
      <c r="C14" s="89" t="s">
        <v>129</v>
      </c>
      <c r="D14" s="89" t="s">
        <v>447</v>
      </c>
      <c r="E14" s="87" t="s">
        <v>109</v>
      </c>
      <c r="F14" s="28" t="s">
        <v>104</v>
      </c>
      <c r="G14" s="26">
        <v>615</v>
      </c>
      <c r="H14" s="26">
        <v>49</v>
      </c>
      <c r="I14" s="29">
        <f>1608.1</f>
        <v>1608.1</v>
      </c>
      <c r="J14" s="88" t="s">
        <v>130</v>
      </c>
      <c r="K14" s="87">
        <v>3</v>
      </c>
      <c r="L14" s="87">
        <v>4</v>
      </c>
      <c r="M14" s="29">
        <f t="shared" si="0"/>
        <v>1778</v>
      </c>
      <c r="N14" s="29"/>
      <c r="O14" s="29"/>
      <c r="P14" s="29">
        <f t="shared" si="20"/>
        <v>0</v>
      </c>
      <c r="Q14" s="29"/>
      <c r="R14" s="29">
        <f t="shared" si="1"/>
        <v>0</v>
      </c>
      <c r="S14" s="29"/>
      <c r="T14" s="29">
        <f t="shared" si="2"/>
        <v>20.8</v>
      </c>
      <c r="U14" s="29">
        <v>20</v>
      </c>
      <c r="V14" s="29">
        <v>0.8</v>
      </c>
      <c r="W14" s="29">
        <f t="shared" si="3"/>
        <v>1757.2</v>
      </c>
      <c r="X14" s="29">
        <f t="shared" si="13"/>
        <v>1758</v>
      </c>
      <c r="Y14" s="29">
        <f t="shared" si="14"/>
        <v>1758</v>
      </c>
      <c r="Z14" s="29">
        <f t="shared" si="4"/>
        <v>1758</v>
      </c>
      <c r="AA14" s="29"/>
      <c r="AB14" s="29"/>
      <c r="AC14" s="29"/>
      <c r="AD14" s="29"/>
      <c r="AE14" s="29"/>
      <c r="AF14" s="29"/>
      <c r="AG14" s="29"/>
      <c r="AH14" s="29"/>
      <c r="AI14" s="29"/>
      <c r="AJ14" s="29"/>
      <c r="AK14" s="29"/>
      <c r="AL14" s="29"/>
      <c r="AM14" s="29"/>
      <c r="AN14" s="29">
        <v>1605</v>
      </c>
      <c r="AO14" s="29"/>
      <c r="AP14" s="29"/>
      <c r="AQ14" s="29"/>
      <c r="AR14" s="29"/>
      <c r="AS14" s="29"/>
      <c r="AT14" s="29"/>
      <c r="AU14" s="30"/>
      <c r="AV14" s="29"/>
      <c r="AW14" s="29"/>
      <c r="AX14" s="29"/>
      <c r="AY14" s="29"/>
      <c r="AZ14" s="29"/>
      <c r="BA14" s="29"/>
      <c r="BB14" s="29"/>
      <c r="BC14" s="29">
        <v>153</v>
      </c>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f t="shared" si="5"/>
        <v>0</v>
      </c>
      <c r="CW14" s="29">
        <f t="shared" si="6"/>
        <v>0</v>
      </c>
      <c r="CX14" s="31">
        <f t="shared" si="7"/>
        <v>1608.1000000000001</v>
      </c>
      <c r="CY14" s="31">
        <v>3.9</v>
      </c>
      <c r="CZ14" s="31">
        <f t="shared" si="15"/>
        <v>0</v>
      </c>
      <c r="DA14" s="88" t="s">
        <v>403</v>
      </c>
      <c r="DB14" s="29">
        <f>1605-0.8</f>
        <v>1604.2</v>
      </c>
      <c r="DC14" s="89"/>
      <c r="DD14" s="26"/>
      <c r="DE14" s="26"/>
      <c r="DF14" s="26"/>
      <c r="DG14" s="33"/>
      <c r="DH14" s="39" t="s">
        <v>447</v>
      </c>
      <c r="DI14" s="6" t="s">
        <v>508</v>
      </c>
      <c r="DJ14" s="7" t="s">
        <v>511</v>
      </c>
      <c r="DK14" s="33">
        <v>1604.2</v>
      </c>
      <c r="DL14" s="71">
        <f t="shared" si="16"/>
        <v>4.4561111111111114</v>
      </c>
      <c r="DM14" s="68">
        <f t="shared" si="8"/>
        <v>120315000</v>
      </c>
      <c r="DN14" s="68">
        <f t="shared" si="9"/>
        <v>360945000</v>
      </c>
      <c r="DO14" s="35">
        <v>5</v>
      </c>
      <c r="DP14" s="33">
        <f t="shared" si="10"/>
        <v>91.292966082403822</v>
      </c>
      <c r="DQ14" s="35">
        <v>12</v>
      </c>
      <c r="DR14" s="69">
        <f t="shared" si="17"/>
        <v>30600000</v>
      </c>
      <c r="DS14" s="33">
        <v>1604.2</v>
      </c>
      <c r="DT14" s="68">
        <f t="shared" si="18"/>
        <v>48126000</v>
      </c>
      <c r="DU14" s="36">
        <f>3.9+1604.2</f>
        <v>1608.1000000000001</v>
      </c>
      <c r="DV14" s="68">
        <f t="shared" si="19"/>
        <v>16042000</v>
      </c>
      <c r="DW14" s="69">
        <f t="shared" si="11"/>
        <v>576028000</v>
      </c>
      <c r="DX14" s="33">
        <f t="shared" si="12"/>
        <v>0</v>
      </c>
    </row>
    <row r="15" spans="1:128" s="38" customFormat="1" ht="42" customHeight="1">
      <c r="A15" s="26">
        <v>9</v>
      </c>
      <c r="B15" s="27" t="s">
        <v>131</v>
      </c>
      <c r="C15" s="89" t="s">
        <v>132</v>
      </c>
      <c r="D15" s="88" t="s">
        <v>413</v>
      </c>
      <c r="E15" s="87" t="s">
        <v>109</v>
      </c>
      <c r="F15" s="28" t="s">
        <v>104</v>
      </c>
      <c r="G15" s="26">
        <v>616</v>
      </c>
      <c r="H15" s="26">
        <v>49</v>
      </c>
      <c r="I15" s="29">
        <f>6.1+480</f>
        <v>486.1</v>
      </c>
      <c r="J15" s="88" t="s">
        <v>133</v>
      </c>
      <c r="K15" s="87">
        <v>1</v>
      </c>
      <c r="L15" s="87">
        <v>1</v>
      </c>
      <c r="M15" s="29">
        <f t="shared" si="0"/>
        <v>566</v>
      </c>
      <c r="N15" s="29"/>
      <c r="O15" s="29"/>
      <c r="P15" s="29">
        <f t="shared" si="20"/>
        <v>0</v>
      </c>
      <c r="Q15" s="29"/>
      <c r="R15" s="29">
        <f t="shared" si="1"/>
        <v>160</v>
      </c>
      <c r="S15" s="29">
        <v>80</v>
      </c>
      <c r="T15" s="29">
        <f t="shared" si="2"/>
        <v>6</v>
      </c>
      <c r="U15" s="29">
        <v>6</v>
      </c>
      <c r="V15" s="29"/>
      <c r="W15" s="29">
        <f t="shared" si="3"/>
        <v>640</v>
      </c>
      <c r="X15" s="29">
        <f t="shared" si="13"/>
        <v>480</v>
      </c>
      <c r="Y15" s="29">
        <f t="shared" si="14"/>
        <v>480</v>
      </c>
      <c r="Z15" s="29">
        <f t="shared" si="4"/>
        <v>640</v>
      </c>
      <c r="AA15" s="29"/>
      <c r="AB15" s="29"/>
      <c r="AC15" s="29"/>
      <c r="AD15" s="29"/>
      <c r="AE15" s="29"/>
      <c r="AF15" s="29"/>
      <c r="AG15" s="29"/>
      <c r="AH15" s="29"/>
      <c r="AI15" s="29"/>
      <c r="AJ15" s="29"/>
      <c r="AK15" s="29"/>
      <c r="AL15" s="29"/>
      <c r="AM15" s="29"/>
      <c r="AN15" s="29">
        <v>480</v>
      </c>
      <c r="AO15" s="29"/>
      <c r="AP15" s="29"/>
      <c r="AQ15" s="29"/>
      <c r="AR15" s="29"/>
      <c r="AS15" s="29"/>
      <c r="AT15" s="29"/>
      <c r="AU15" s="30"/>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f t="shared" si="5"/>
        <v>0</v>
      </c>
      <c r="CW15" s="29">
        <f t="shared" si="6"/>
        <v>160</v>
      </c>
      <c r="CX15" s="31">
        <f t="shared" si="7"/>
        <v>486.09999999999997</v>
      </c>
      <c r="CY15" s="31">
        <v>6.1</v>
      </c>
      <c r="CZ15" s="31">
        <f t="shared" si="15"/>
        <v>0</v>
      </c>
      <c r="DA15" s="88" t="s">
        <v>403</v>
      </c>
      <c r="DB15" s="29">
        <v>480</v>
      </c>
      <c r="DC15" s="89"/>
      <c r="DD15" s="26"/>
      <c r="DE15" s="26"/>
      <c r="DF15" s="26"/>
      <c r="DG15" s="33"/>
      <c r="DH15" s="45" t="s">
        <v>413</v>
      </c>
      <c r="DI15" s="6" t="s">
        <v>508</v>
      </c>
      <c r="DJ15" s="7" t="s">
        <v>511</v>
      </c>
      <c r="DK15" s="33">
        <v>479.99999999999994</v>
      </c>
      <c r="DL15" s="71">
        <f t="shared" si="16"/>
        <v>1.3333333333333333</v>
      </c>
      <c r="DM15" s="68">
        <f t="shared" si="8"/>
        <v>36000000</v>
      </c>
      <c r="DN15" s="68">
        <f t="shared" si="9"/>
        <v>108000000</v>
      </c>
      <c r="DO15" s="35">
        <v>0</v>
      </c>
      <c r="DP15" s="33">
        <f t="shared" si="10"/>
        <v>74.999999999999986</v>
      </c>
      <c r="DQ15" s="35">
        <v>12</v>
      </c>
      <c r="DR15" s="69">
        <f t="shared" si="17"/>
        <v>0</v>
      </c>
      <c r="DS15" s="33">
        <v>479.99999999999994</v>
      </c>
      <c r="DT15" s="68">
        <f t="shared" si="18"/>
        <v>14400000</v>
      </c>
      <c r="DU15" s="36">
        <f>6.1+480</f>
        <v>486.1</v>
      </c>
      <c r="DV15" s="68">
        <f t="shared" si="19"/>
        <v>4800000</v>
      </c>
      <c r="DW15" s="69">
        <f t="shared" si="11"/>
        <v>163200000</v>
      </c>
      <c r="DX15" s="33">
        <f t="shared" si="12"/>
        <v>0</v>
      </c>
    </row>
    <row r="16" spans="1:128" s="51" customFormat="1" ht="36.6" customHeight="1">
      <c r="A16" s="40">
        <v>10</v>
      </c>
      <c r="B16" s="41" t="s">
        <v>407</v>
      </c>
      <c r="C16" s="42" t="s">
        <v>134</v>
      </c>
      <c r="D16" s="42" t="s">
        <v>448</v>
      </c>
      <c r="E16" s="43" t="s">
        <v>109</v>
      </c>
      <c r="F16" s="43" t="s">
        <v>104</v>
      </c>
      <c r="G16" s="40">
        <v>1</v>
      </c>
      <c r="H16" s="40">
        <v>52</v>
      </c>
      <c r="I16" s="44">
        <f>86.5+1127</f>
        <v>1213.5</v>
      </c>
      <c r="J16" s="45" t="s">
        <v>135</v>
      </c>
      <c r="K16" s="43">
        <v>2</v>
      </c>
      <c r="L16" s="43">
        <v>3</v>
      </c>
      <c r="M16" s="44">
        <f t="shared" si="0"/>
        <v>1212</v>
      </c>
      <c r="N16" s="44"/>
      <c r="O16" s="44"/>
      <c r="P16" s="44">
        <f>Q16*4</f>
        <v>0</v>
      </c>
      <c r="Q16" s="44"/>
      <c r="R16" s="44">
        <f>S16*2</f>
        <v>0</v>
      </c>
      <c r="S16" s="44"/>
      <c r="T16" s="44">
        <f t="shared" si="2"/>
        <v>13</v>
      </c>
      <c r="U16" s="44">
        <v>13</v>
      </c>
      <c r="V16" s="44"/>
      <c r="W16" s="44">
        <f t="shared" si="3"/>
        <v>1199</v>
      </c>
      <c r="X16" s="44">
        <f t="shared" si="13"/>
        <v>1199</v>
      </c>
      <c r="Y16" s="44">
        <f t="shared" si="14"/>
        <v>1199</v>
      </c>
      <c r="Z16" s="44">
        <f t="shared" si="4"/>
        <v>1199</v>
      </c>
      <c r="AA16" s="44"/>
      <c r="AB16" s="44"/>
      <c r="AC16" s="44"/>
      <c r="AD16" s="44"/>
      <c r="AE16" s="44"/>
      <c r="AF16" s="44"/>
      <c r="AG16" s="44"/>
      <c r="AH16" s="44"/>
      <c r="AI16" s="44"/>
      <c r="AJ16" s="44"/>
      <c r="AK16" s="44"/>
      <c r="AL16" s="44"/>
      <c r="AM16" s="44"/>
      <c r="AN16" s="44">
        <v>1127</v>
      </c>
      <c r="AO16" s="44"/>
      <c r="AP16" s="44"/>
      <c r="AQ16" s="44"/>
      <c r="AR16" s="44"/>
      <c r="AS16" s="44"/>
      <c r="AT16" s="44"/>
      <c r="AU16" s="46"/>
      <c r="AV16" s="44"/>
      <c r="AW16" s="44"/>
      <c r="AX16" s="44"/>
      <c r="AY16" s="44"/>
      <c r="AZ16" s="44"/>
      <c r="BA16" s="44"/>
      <c r="BB16" s="44"/>
      <c r="BC16" s="44">
        <v>72</v>
      </c>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f t="shared" si="5"/>
        <v>0</v>
      </c>
      <c r="CW16" s="44">
        <f t="shared" si="6"/>
        <v>0</v>
      </c>
      <c r="CX16" s="47">
        <f t="shared" si="7"/>
        <v>1213.5</v>
      </c>
      <c r="CY16" s="47">
        <v>86.5</v>
      </c>
      <c r="CZ16" s="31">
        <f t="shared" si="15"/>
        <v>0</v>
      </c>
      <c r="DA16" s="88" t="s">
        <v>403</v>
      </c>
      <c r="DB16" s="44">
        <v>1127</v>
      </c>
      <c r="DC16" s="42" t="s">
        <v>134</v>
      </c>
      <c r="DD16" s="40" t="s">
        <v>136</v>
      </c>
      <c r="DE16" s="48" t="s">
        <v>137</v>
      </c>
      <c r="DF16" s="40">
        <v>7</v>
      </c>
      <c r="DG16" s="49">
        <v>1213.5</v>
      </c>
      <c r="DH16" s="42" t="s">
        <v>448</v>
      </c>
      <c r="DI16" s="1" t="s">
        <v>509</v>
      </c>
      <c r="DJ16" s="62" t="s">
        <v>511</v>
      </c>
      <c r="DK16" s="49">
        <v>1127</v>
      </c>
      <c r="DL16" s="71">
        <f t="shared" si="16"/>
        <v>3.1305555555555555</v>
      </c>
      <c r="DM16" s="68">
        <f t="shared" si="8"/>
        <v>84525000</v>
      </c>
      <c r="DN16" s="68">
        <f t="shared" si="9"/>
        <v>253575000</v>
      </c>
      <c r="DO16" s="50">
        <v>5</v>
      </c>
      <c r="DP16" s="33">
        <f t="shared" si="10"/>
        <v>93.994995829858226</v>
      </c>
      <c r="DQ16" s="50">
        <v>12</v>
      </c>
      <c r="DR16" s="69">
        <f t="shared" si="17"/>
        <v>30600000</v>
      </c>
      <c r="DS16" s="49">
        <v>1127</v>
      </c>
      <c r="DT16" s="68">
        <f t="shared" si="18"/>
        <v>33810000</v>
      </c>
      <c r="DU16" s="36">
        <f>86.5+1127</f>
        <v>1213.5</v>
      </c>
      <c r="DV16" s="68">
        <f t="shared" si="19"/>
        <v>11270000</v>
      </c>
      <c r="DW16" s="69">
        <f t="shared" si="11"/>
        <v>413780000</v>
      </c>
      <c r="DX16" s="33">
        <f t="shared" si="12"/>
        <v>0</v>
      </c>
    </row>
    <row r="17" spans="1:128" s="51" customFormat="1" ht="20.25" customHeight="1">
      <c r="A17" s="40">
        <v>11</v>
      </c>
      <c r="B17" s="41" t="s">
        <v>138</v>
      </c>
      <c r="C17" s="42" t="s">
        <v>139</v>
      </c>
      <c r="D17" s="39" t="s">
        <v>141</v>
      </c>
      <c r="E17" s="43" t="s">
        <v>109</v>
      </c>
      <c r="F17" s="43" t="s">
        <v>104</v>
      </c>
      <c r="G17" s="40">
        <v>2</v>
      </c>
      <c r="H17" s="40">
        <v>52</v>
      </c>
      <c r="I17" s="44">
        <v>417.5</v>
      </c>
      <c r="J17" s="45" t="s">
        <v>140</v>
      </c>
      <c r="K17" s="40">
        <v>3</v>
      </c>
      <c r="L17" s="40">
        <v>2</v>
      </c>
      <c r="M17" s="44">
        <f t="shared" si="0"/>
        <v>1618</v>
      </c>
      <c r="N17" s="44"/>
      <c r="O17" s="44"/>
      <c r="P17" s="44">
        <f>Q17*4</f>
        <v>300</v>
      </c>
      <c r="Q17" s="44">
        <v>75</v>
      </c>
      <c r="R17" s="44">
        <f>S17*2</f>
        <v>200</v>
      </c>
      <c r="S17" s="44">
        <v>100</v>
      </c>
      <c r="T17" s="44">
        <f t="shared" si="2"/>
        <v>711</v>
      </c>
      <c r="U17" s="44">
        <v>5</v>
      </c>
      <c r="V17" s="44">
        <v>706</v>
      </c>
      <c r="W17" s="44">
        <f t="shared" si="3"/>
        <v>1232</v>
      </c>
      <c r="X17" s="29">
        <f t="shared" si="13"/>
        <v>1438</v>
      </c>
      <c r="Y17" s="29">
        <f t="shared" si="14"/>
        <v>1438</v>
      </c>
      <c r="Z17" s="44">
        <f t="shared" si="4"/>
        <v>1938</v>
      </c>
      <c r="AA17" s="44"/>
      <c r="AB17" s="44"/>
      <c r="AC17" s="44"/>
      <c r="AD17" s="44"/>
      <c r="AE17" s="44"/>
      <c r="AF17" s="44"/>
      <c r="AG17" s="44"/>
      <c r="AH17" s="44"/>
      <c r="AI17" s="44"/>
      <c r="AJ17" s="44"/>
      <c r="AK17" s="44"/>
      <c r="AL17" s="44"/>
      <c r="AM17" s="44"/>
      <c r="AN17" s="44">
        <v>417</v>
      </c>
      <c r="AO17" s="44"/>
      <c r="AP17" s="44"/>
      <c r="AQ17" s="44"/>
      <c r="AR17" s="44"/>
      <c r="AS17" s="44"/>
      <c r="AT17" s="44"/>
      <c r="AU17" s="46"/>
      <c r="AV17" s="44"/>
      <c r="AW17" s="44"/>
      <c r="AX17" s="44"/>
      <c r="AY17" s="44"/>
      <c r="AZ17" s="44"/>
      <c r="BA17" s="44">
        <v>706</v>
      </c>
      <c r="BB17" s="44"/>
      <c r="BC17" s="44">
        <v>135</v>
      </c>
      <c r="BD17" s="44">
        <v>180</v>
      </c>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f t="shared" si="5"/>
        <v>300</v>
      </c>
      <c r="CW17" s="44">
        <f t="shared" si="6"/>
        <v>200</v>
      </c>
      <c r="CX17" s="47">
        <f t="shared" si="7"/>
        <v>417.5</v>
      </c>
      <c r="CY17" s="47">
        <v>0</v>
      </c>
      <c r="CZ17" s="31">
        <f t="shared" si="15"/>
        <v>0</v>
      </c>
      <c r="DA17" s="88" t="s">
        <v>403</v>
      </c>
      <c r="DB17" s="44">
        <v>417</v>
      </c>
      <c r="DC17" s="39"/>
      <c r="DD17" s="40"/>
      <c r="DE17" s="40"/>
      <c r="DF17" s="40"/>
      <c r="DG17" s="49"/>
      <c r="DH17" s="39" t="s">
        <v>141</v>
      </c>
      <c r="DI17" s="1" t="s">
        <v>509</v>
      </c>
      <c r="DJ17" s="62" t="s">
        <v>511</v>
      </c>
      <c r="DK17" s="49">
        <v>417.5</v>
      </c>
      <c r="DL17" s="71">
        <f t="shared" si="16"/>
        <v>1.1597222222222223</v>
      </c>
      <c r="DM17" s="68">
        <f t="shared" si="8"/>
        <v>31313000</v>
      </c>
      <c r="DN17" s="68">
        <f t="shared" si="9"/>
        <v>93938000</v>
      </c>
      <c r="DO17" s="50">
        <v>3</v>
      </c>
      <c r="DP17" s="33">
        <f t="shared" si="10"/>
        <v>33.887987012987011</v>
      </c>
      <c r="DQ17" s="50">
        <v>6</v>
      </c>
      <c r="DR17" s="69">
        <f t="shared" si="17"/>
        <v>9180000</v>
      </c>
      <c r="DS17" s="49">
        <v>417.5</v>
      </c>
      <c r="DT17" s="68">
        <f t="shared" si="18"/>
        <v>12525000</v>
      </c>
      <c r="DU17" s="36">
        <v>417.5</v>
      </c>
      <c r="DV17" s="68">
        <f t="shared" si="19"/>
        <v>4175000</v>
      </c>
      <c r="DW17" s="69">
        <f t="shared" si="11"/>
        <v>151131000</v>
      </c>
      <c r="DX17" s="33">
        <f t="shared" si="12"/>
        <v>0</v>
      </c>
    </row>
    <row r="18" spans="1:128" s="51" customFormat="1" ht="18.75" customHeight="1">
      <c r="A18" s="40">
        <v>12</v>
      </c>
      <c r="B18" s="41" t="s">
        <v>142</v>
      </c>
      <c r="C18" s="42" t="s">
        <v>143</v>
      </c>
      <c r="D18" s="42" t="s">
        <v>143</v>
      </c>
      <c r="E18" s="43" t="s">
        <v>109</v>
      </c>
      <c r="F18" s="43" t="s">
        <v>104</v>
      </c>
      <c r="G18" s="40">
        <v>3</v>
      </c>
      <c r="H18" s="40">
        <v>52</v>
      </c>
      <c r="I18" s="44">
        <f>4.7+848</f>
        <v>852.7</v>
      </c>
      <c r="J18" s="52" t="s">
        <v>143</v>
      </c>
      <c r="K18" s="53">
        <v>2</v>
      </c>
      <c r="L18" s="53">
        <v>2</v>
      </c>
      <c r="M18" s="44">
        <f t="shared" si="0"/>
        <v>1132</v>
      </c>
      <c r="N18" s="44"/>
      <c r="O18" s="44"/>
      <c r="P18" s="44">
        <f>Q18*4</f>
        <v>180</v>
      </c>
      <c r="Q18" s="44">
        <v>45</v>
      </c>
      <c r="R18" s="44">
        <f>S18*2</f>
        <v>50</v>
      </c>
      <c r="S18" s="44">
        <v>25</v>
      </c>
      <c r="T18" s="44">
        <f t="shared" si="2"/>
        <v>214</v>
      </c>
      <c r="U18" s="44">
        <v>12</v>
      </c>
      <c r="V18" s="44">
        <v>202</v>
      </c>
      <c r="W18" s="44">
        <f t="shared" si="3"/>
        <v>1078</v>
      </c>
      <c r="X18" s="44">
        <f t="shared" si="13"/>
        <v>1050</v>
      </c>
      <c r="Y18" s="44">
        <f t="shared" si="14"/>
        <v>1050</v>
      </c>
      <c r="Z18" s="44">
        <f t="shared" si="4"/>
        <v>1280</v>
      </c>
      <c r="AA18" s="44"/>
      <c r="AB18" s="44"/>
      <c r="AC18" s="44"/>
      <c r="AD18" s="44"/>
      <c r="AE18" s="44"/>
      <c r="AF18" s="44"/>
      <c r="AG18" s="44"/>
      <c r="AH18" s="44"/>
      <c r="AI18" s="44"/>
      <c r="AJ18" s="44"/>
      <c r="AK18" s="44"/>
      <c r="AL18" s="44"/>
      <c r="AM18" s="44"/>
      <c r="AN18" s="44">
        <v>848</v>
      </c>
      <c r="AO18" s="44"/>
      <c r="AP18" s="44"/>
      <c r="AQ18" s="44"/>
      <c r="AR18" s="44"/>
      <c r="AS18" s="44"/>
      <c r="AT18" s="44"/>
      <c r="AU18" s="46">
        <v>202</v>
      </c>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f t="shared" si="5"/>
        <v>180</v>
      </c>
      <c r="CW18" s="44">
        <f t="shared" si="6"/>
        <v>50</v>
      </c>
      <c r="CX18" s="47">
        <f t="shared" si="7"/>
        <v>852.70000000000016</v>
      </c>
      <c r="CY18" s="47">
        <v>4.7</v>
      </c>
      <c r="CZ18" s="31">
        <f t="shared" si="15"/>
        <v>0</v>
      </c>
      <c r="DA18" s="88" t="s">
        <v>403</v>
      </c>
      <c r="DB18" s="44">
        <v>848</v>
      </c>
      <c r="DC18" s="39" t="s">
        <v>143</v>
      </c>
      <c r="DD18" s="40" t="s">
        <v>144</v>
      </c>
      <c r="DE18" s="48" t="s">
        <v>137</v>
      </c>
      <c r="DF18" s="40">
        <v>7</v>
      </c>
      <c r="DG18" s="49">
        <f>852.7-4.7</f>
        <v>848</v>
      </c>
      <c r="DH18" s="42" t="s">
        <v>143</v>
      </c>
      <c r="DI18" s="1" t="s">
        <v>509</v>
      </c>
      <c r="DJ18" s="62" t="s">
        <v>511</v>
      </c>
      <c r="DK18" s="49">
        <v>848.00000000000011</v>
      </c>
      <c r="DL18" s="71">
        <f t="shared" si="16"/>
        <v>2.3555555555555561</v>
      </c>
      <c r="DM18" s="68">
        <f t="shared" si="8"/>
        <v>63600000</v>
      </c>
      <c r="DN18" s="68">
        <f t="shared" si="9"/>
        <v>190800000</v>
      </c>
      <c r="DO18" s="50">
        <v>5</v>
      </c>
      <c r="DP18" s="33">
        <f t="shared" si="10"/>
        <v>78.664192949907246</v>
      </c>
      <c r="DQ18" s="50">
        <v>12</v>
      </c>
      <c r="DR18" s="69">
        <f t="shared" si="17"/>
        <v>30600000</v>
      </c>
      <c r="DS18" s="49">
        <v>848.00000000000011</v>
      </c>
      <c r="DT18" s="68">
        <f t="shared" si="18"/>
        <v>25440000</v>
      </c>
      <c r="DU18" s="36">
        <f>4.7+848</f>
        <v>852.7</v>
      </c>
      <c r="DV18" s="68">
        <f t="shared" si="19"/>
        <v>8480000</v>
      </c>
      <c r="DW18" s="69">
        <f t="shared" si="11"/>
        <v>318920000</v>
      </c>
      <c r="DX18" s="33">
        <f t="shared" si="12"/>
        <v>0</v>
      </c>
    </row>
    <row r="19" spans="1:128" s="51" customFormat="1" ht="58.5" customHeight="1">
      <c r="A19" s="40">
        <v>13</v>
      </c>
      <c r="B19" s="41" t="s">
        <v>145</v>
      </c>
      <c r="C19" s="42" t="s">
        <v>146</v>
      </c>
      <c r="D19" s="88" t="s">
        <v>414</v>
      </c>
      <c r="E19" s="43" t="s">
        <v>109</v>
      </c>
      <c r="F19" s="43" t="s">
        <v>104</v>
      </c>
      <c r="G19" s="40">
        <v>4</v>
      </c>
      <c r="H19" s="40">
        <v>52</v>
      </c>
      <c r="I19" s="44">
        <f>2.5+227</f>
        <v>229.5</v>
      </c>
      <c r="J19" s="45" t="s">
        <v>147</v>
      </c>
      <c r="K19" s="43">
        <v>1</v>
      </c>
      <c r="L19" s="43">
        <v>1</v>
      </c>
      <c r="M19" s="44">
        <f t="shared" si="0"/>
        <v>566</v>
      </c>
      <c r="N19" s="44"/>
      <c r="O19" s="44"/>
      <c r="P19" s="44">
        <f>Q19*4</f>
        <v>0</v>
      </c>
      <c r="Q19" s="44"/>
      <c r="R19" s="44">
        <f>S19*2</f>
        <v>27</v>
      </c>
      <c r="S19" s="44">
        <v>13.5</v>
      </c>
      <c r="T19" s="44">
        <f t="shared" si="2"/>
        <v>251</v>
      </c>
      <c r="U19" s="44">
        <v>3</v>
      </c>
      <c r="V19" s="44">
        <v>248</v>
      </c>
      <c r="W19" s="44">
        <f t="shared" si="3"/>
        <v>328.5</v>
      </c>
      <c r="X19" s="44">
        <f t="shared" si="13"/>
        <v>549.5</v>
      </c>
      <c r="Y19" s="44">
        <f t="shared" si="14"/>
        <v>549.5</v>
      </c>
      <c r="Z19" s="44">
        <f t="shared" si="4"/>
        <v>576.5</v>
      </c>
      <c r="AA19" s="44"/>
      <c r="AB19" s="44"/>
      <c r="AC19" s="44"/>
      <c r="AD19" s="44"/>
      <c r="AE19" s="44"/>
      <c r="AF19" s="44"/>
      <c r="AG19" s="44"/>
      <c r="AH19" s="44"/>
      <c r="AI19" s="44"/>
      <c r="AJ19" s="44"/>
      <c r="AK19" s="44"/>
      <c r="AL19" s="44"/>
      <c r="AM19" s="44"/>
      <c r="AN19" s="44">
        <v>227</v>
      </c>
      <c r="AO19" s="44"/>
      <c r="AP19" s="44"/>
      <c r="AQ19" s="44"/>
      <c r="AR19" s="44"/>
      <c r="AS19" s="44"/>
      <c r="AT19" s="44"/>
      <c r="AU19" s="46"/>
      <c r="AV19" s="44"/>
      <c r="AW19" s="44"/>
      <c r="AX19" s="44"/>
      <c r="AY19" s="44"/>
      <c r="AZ19" s="44"/>
      <c r="BA19" s="44"/>
      <c r="BB19" s="44"/>
      <c r="BC19" s="44"/>
      <c r="BD19" s="44">
        <f>48.5+26</f>
        <v>74.5</v>
      </c>
      <c r="BE19" s="44"/>
      <c r="BF19" s="44">
        <v>248</v>
      </c>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f t="shared" si="5"/>
        <v>0</v>
      </c>
      <c r="CW19" s="44">
        <f t="shared" si="6"/>
        <v>27</v>
      </c>
      <c r="CX19" s="47">
        <f t="shared" si="7"/>
        <v>229.5</v>
      </c>
      <c r="CY19" s="47">
        <v>2.5</v>
      </c>
      <c r="CZ19" s="31">
        <f t="shared" si="15"/>
        <v>0</v>
      </c>
      <c r="DA19" s="88" t="s">
        <v>403</v>
      </c>
      <c r="DB19" s="44">
        <v>227</v>
      </c>
      <c r="DC19" s="39"/>
      <c r="DD19" s="40"/>
      <c r="DE19" s="40"/>
      <c r="DF19" s="40"/>
      <c r="DG19" s="49"/>
      <c r="DH19" s="45" t="s">
        <v>497</v>
      </c>
      <c r="DI19" s="1" t="s">
        <v>509</v>
      </c>
      <c r="DJ19" s="62" t="s">
        <v>511</v>
      </c>
      <c r="DK19" s="49">
        <v>227</v>
      </c>
      <c r="DL19" s="71">
        <f t="shared" si="16"/>
        <v>0.63055555555555554</v>
      </c>
      <c r="DM19" s="68">
        <f t="shared" si="8"/>
        <v>17025000</v>
      </c>
      <c r="DN19" s="68">
        <f t="shared" si="9"/>
        <v>51075000</v>
      </c>
      <c r="DO19" s="50">
        <v>0</v>
      </c>
      <c r="DP19" s="33">
        <f t="shared" si="10"/>
        <v>69.101978691019781</v>
      </c>
      <c r="DQ19" s="50">
        <v>6</v>
      </c>
      <c r="DR19" s="69">
        <f t="shared" si="17"/>
        <v>0</v>
      </c>
      <c r="DS19" s="49">
        <v>227</v>
      </c>
      <c r="DT19" s="68">
        <f t="shared" si="18"/>
        <v>6810000</v>
      </c>
      <c r="DU19" s="36">
        <f>2.5+227</f>
        <v>229.5</v>
      </c>
      <c r="DV19" s="68">
        <f t="shared" si="19"/>
        <v>2270000</v>
      </c>
      <c r="DW19" s="69">
        <f t="shared" si="11"/>
        <v>77180000</v>
      </c>
      <c r="DX19" s="33">
        <f t="shared" si="12"/>
        <v>0</v>
      </c>
    </row>
    <row r="20" spans="1:128" s="51" customFormat="1" ht="43.5" customHeight="1">
      <c r="A20" s="40">
        <v>14</v>
      </c>
      <c r="B20" s="41" t="s">
        <v>148</v>
      </c>
      <c r="C20" s="42" t="s">
        <v>149</v>
      </c>
      <c r="D20" s="88" t="s">
        <v>415</v>
      </c>
      <c r="E20" s="43" t="s">
        <v>109</v>
      </c>
      <c r="F20" s="43" t="s">
        <v>104</v>
      </c>
      <c r="G20" s="40">
        <v>5</v>
      </c>
      <c r="H20" s="40">
        <v>52</v>
      </c>
      <c r="I20" s="44">
        <f>8.1+1425.3</f>
        <v>1433.3999999999999</v>
      </c>
      <c r="J20" s="45" t="s">
        <v>150</v>
      </c>
      <c r="K20" s="43">
        <v>4</v>
      </c>
      <c r="L20" s="43">
        <v>4</v>
      </c>
      <c r="M20" s="44">
        <f t="shared" si="0"/>
        <v>2264</v>
      </c>
      <c r="N20" s="44"/>
      <c r="O20" s="44"/>
      <c r="P20" s="44">
        <v>115</v>
      </c>
      <c r="Q20" s="44">
        <v>28.7</v>
      </c>
      <c r="R20" s="44">
        <v>75</v>
      </c>
      <c r="S20" s="44">
        <v>37</v>
      </c>
      <c r="T20" s="44">
        <f t="shared" si="2"/>
        <v>188</v>
      </c>
      <c r="U20" s="44">
        <v>18</v>
      </c>
      <c r="V20" s="44">
        <v>170</v>
      </c>
      <c r="W20" s="44">
        <f t="shared" si="3"/>
        <v>2200.3000000000002</v>
      </c>
      <c r="X20" s="44">
        <f t="shared" si="13"/>
        <v>2180.3000000000002</v>
      </c>
      <c r="Y20" s="44">
        <f t="shared" si="14"/>
        <v>2180.3000000000002</v>
      </c>
      <c r="Z20" s="44">
        <f t="shared" si="4"/>
        <v>2370.3000000000002</v>
      </c>
      <c r="AA20" s="44"/>
      <c r="AB20" s="44"/>
      <c r="AC20" s="44"/>
      <c r="AD20" s="44"/>
      <c r="AE20" s="44"/>
      <c r="AF20" s="44"/>
      <c r="AG20" s="44"/>
      <c r="AH20" s="44"/>
      <c r="AI20" s="44"/>
      <c r="AJ20" s="44"/>
      <c r="AK20" s="44"/>
      <c r="AL20" s="44"/>
      <c r="AM20" s="44"/>
      <c r="AN20" s="44">
        <v>1425.3</v>
      </c>
      <c r="AO20" s="44"/>
      <c r="AP20" s="44"/>
      <c r="AQ20" s="44"/>
      <c r="AR20" s="44"/>
      <c r="AS20" s="44"/>
      <c r="AT20" s="44"/>
      <c r="AU20" s="46"/>
      <c r="AV20" s="44"/>
      <c r="AW20" s="44"/>
      <c r="AX20" s="44"/>
      <c r="AY20" s="44"/>
      <c r="AZ20" s="44"/>
      <c r="BA20" s="44"/>
      <c r="BB20" s="44"/>
      <c r="BC20" s="44">
        <v>585</v>
      </c>
      <c r="BD20" s="44"/>
      <c r="BE20" s="44"/>
      <c r="BF20" s="44"/>
      <c r="BG20" s="44">
        <v>170</v>
      </c>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f t="shared" si="5"/>
        <v>115</v>
      </c>
      <c r="CW20" s="44">
        <f t="shared" si="6"/>
        <v>75</v>
      </c>
      <c r="CX20" s="47">
        <f t="shared" si="7"/>
        <v>1433.3999999999999</v>
      </c>
      <c r="CY20" s="47">
        <v>8.1</v>
      </c>
      <c r="CZ20" s="31">
        <f t="shared" si="15"/>
        <v>0</v>
      </c>
      <c r="DA20" s="88" t="s">
        <v>403</v>
      </c>
      <c r="DB20" s="44">
        <v>1425.3</v>
      </c>
      <c r="DC20" s="39"/>
      <c r="DD20" s="40"/>
      <c r="DE20" s="40"/>
      <c r="DF20" s="40"/>
      <c r="DG20" s="49"/>
      <c r="DH20" s="45" t="s">
        <v>512</v>
      </c>
      <c r="DI20" s="1" t="s">
        <v>509</v>
      </c>
      <c r="DJ20" s="62" t="s">
        <v>511</v>
      </c>
      <c r="DK20" s="49">
        <v>1425.3</v>
      </c>
      <c r="DL20" s="71">
        <f t="shared" si="16"/>
        <v>3.9591666666666665</v>
      </c>
      <c r="DM20" s="68">
        <f t="shared" si="8"/>
        <v>106898000</v>
      </c>
      <c r="DN20" s="68">
        <f t="shared" si="9"/>
        <v>320693000</v>
      </c>
      <c r="DO20" s="50">
        <v>2</v>
      </c>
      <c r="DP20" s="33">
        <f t="shared" si="10"/>
        <v>64.777530336772244</v>
      </c>
      <c r="DQ20" s="50">
        <v>6</v>
      </c>
      <c r="DR20" s="69">
        <f t="shared" si="17"/>
        <v>6120000</v>
      </c>
      <c r="DS20" s="49">
        <v>1425.3</v>
      </c>
      <c r="DT20" s="68">
        <f t="shared" si="18"/>
        <v>42759000</v>
      </c>
      <c r="DU20" s="36">
        <f>8.1+1425.3</f>
        <v>1433.3999999999999</v>
      </c>
      <c r="DV20" s="68">
        <f t="shared" si="19"/>
        <v>14253000</v>
      </c>
      <c r="DW20" s="69">
        <f t="shared" si="11"/>
        <v>490723000</v>
      </c>
      <c r="DX20" s="33">
        <f t="shared" si="12"/>
        <v>0</v>
      </c>
    </row>
    <row r="21" spans="1:128" s="51" customFormat="1" ht="30" customHeight="1">
      <c r="A21" s="40">
        <v>15</v>
      </c>
      <c r="B21" s="41" t="s">
        <v>151</v>
      </c>
      <c r="C21" s="42" t="s">
        <v>152</v>
      </c>
      <c r="D21" s="88" t="s">
        <v>416</v>
      </c>
      <c r="E21" s="43" t="s">
        <v>109</v>
      </c>
      <c r="F21" s="43" t="s">
        <v>104</v>
      </c>
      <c r="G21" s="40">
        <v>6</v>
      </c>
      <c r="H21" s="40">
        <v>52</v>
      </c>
      <c r="I21" s="44">
        <v>534.6</v>
      </c>
      <c r="J21" s="45" t="s">
        <v>154</v>
      </c>
      <c r="K21" s="43">
        <v>2</v>
      </c>
      <c r="L21" s="43">
        <v>2</v>
      </c>
      <c r="M21" s="44">
        <f t="shared" si="0"/>
        <v>1132</v>
      </c>
      <c r="N21" s="44"/>
      <c r="O21" s="44"/>
      <c r="P21" s="44">
        <f>Q21*4</f>
        <v>150</v>
      </c>
      <c r="Q21" s="44">
        <v>37.5</v>
      </c>
      <c r="R21" s="44">
        <f t="shared" ref="R21:R84" si="21">S21*2</f>
        <v>0</v>
      </c>
      <c r="S21" s="44"/>
      <c r="T21" s="44">
        <f t="shared" si="2"/>
        <v>106.5</v>
      </c>
      <c r="U21" s="44">
        <v>2.5</v>
      </c>
      <c r="V21" s="44">
        <v>104</v>
      </c>
      <c r="W21" s="44">
        <f t="shared" si="3"/>
        <v>1138</v>
      </c>
      <c r="X21" s="44">
        <f t="shared" si="13"/>
        <v>1092</v>
      </c>
      <c r="Y21" s="44">
        <f t="shared" si="14"/>
        <v>1092</v>
      </c>
      <c r="Z21" s="44">
        <f t="shared" si="4"/>
        <v>1242</v>
      </c>
      <c r="AA21" s="44"/>
      <c r="AB21" s="44"/>
      <c r="AC21" s="44"/>
      <c r="AD21" s="44"/>
      <c r="AE21" s="44"/>
      <c r="AF21" s="44"/>
      <c r="AG21" s="44"/>
      <c r="AH21" s="44"/>
      <c r="AI21" s="44"/>
      <c r="AJ21" s="44"/>
      <c r="AK21" s="44"/>
      <c r="AL21" s="44"/>
      <c r="AM21" s="44"/>
      <c r="AN21" s="44">
        <v>535</v>
      </c>
      <c r="AO21" s="44"/>
      <c r="AP21" s="44"/>
      <c r="AQ21" s="44"/>
      <c r="AR21" s="44"/>
      <c r="AS21" s="44"/>
      <c r="AT21" s="44"/>
      <c r="AU21" s="46"/>
      <c r="AV21" s="44"/>
      <c r="AW21" s="44"/>
      <c r="AX21" s="44"/>
      <c r="AY21" s="44"/>
      <c r="AZ21" s="44"/>
      <c r="BA21" s="44"/>
      <c r="BB21" s="44"/>
      <c r="BC21" s="44">
        <v>453</v>
      </c>
      <c r="BD21" s="44"/>
      <c r="BE21" s="44"/>
      <c r="BF21" s="44"/>
      <c r="BG21" s="44">
        <v>104</v>
      </c>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f t="shared" si="5"/>
        <v>150</v>
      </c>
      <c r="CW21" s="44">
        <f t="shared" si="6"/>
        <v>0</v>
      </c>
      <c r="CX21" s="47">
        <f t="shared" si="7"/>
        <v>534.6</v>
      </c>
      <c r="CY21" s="47">
        <v>0</v>
      </c>
      <c r="CZ21" s="31">
        <f t="shared" si="15"/>
        <v>0</v>
      </c>
      <c r="DA21" s="88" t="s">
        <v>403</v>
      </c>
      <c r="DB21" s="44">
        <v>535</v>
      </c>
      <c r="DC21" s="39"/>
      <c r="DD21" s="40"/>
      <c r="DE21" s="40"/>
      <c r="DF21" s="40"/>
      <c r="DG21" s="49"/>
      <c r="DH21" s="39" t="s">
        <v>416</v>
      </c>
      <c r="DI21" s="1" t="s">
        <v>509</v>
      </c>
      <c r="DJ21" s="62" t="s">
        <v>511</v>
      </c>
      <c r="DK21" s="49">
        <v>534.6</v>
      </c>
      <c r="DL21" s="71">
        <f t="shared" si="16"/>
        <v>1.4850000000000001</v>
      </c>
      <c r="DM21" s="68">
        <f t="shared" si="8"/>
        <v>40095000</v>
      </c>
      <c r="DN21" s="68">
        <f t="shared" si="9"/>
        <v>120285000</v>
      </c>
      <c r="DO21" s="50">
        <v>0</v>
      </c>
      <c r="DP21" s="33">
        <f t="shared" si="10"/>
        <v>46.977152899824254</v>
      </c>
      <c r="DQ21" s="50">
        <v>6</v>
      </c>
      <c r="DR21" s="69">
        <f t="shared" si="17"/>
        <v>0</v>
      </c>
      <c r="DS21" s="49">
        <v>534.6</v>
      </c>
      <c r="DT21" s="68">
        <f t="shared" si="18"/>
        <v>16038000</v>
      </c>
      <c r="DU21" s="36">
        <v>534.6</v>
      </c>
      <c r="DV21" s="68">
        <f t="shared" si="19"/>
        <v>5346000</v>
      </c>
      <c r="DW21" s="69">
        <f t="shared" si="11"/>
        <v>181764000</v>
      </c>
      <c r="DX21" s="33">
        <f t="shared" si="12"/>
        <v>0</v>
      </c>
    </row>
    <row r="22" spans="1:128" s="51" customFormat="1" ht="36.6" customHeight="1">
      <c r="A22" s="40">
        <v>16</v>
      </c>
      <c r="B22" s="41" t="s">
        <v>155</v>
      </c>
      <c r="C22" s="42" t="s">
        <v>156</v>
      </c>
      <c r="D22" s="42" t="s">
        <v>449</v>
      </c>
      <c r="E22" s="43" t="s">
        <v>109</v>
      </c>
      <c r="F22" s="43" t="s">
        <v>104</v>
      </c>
      <c r="G22" s="40">
        <v>7</v>
      </c>
      <c r="H22" s="40">
        <v>52</v>
      </c>
      <c r="I22" s="44">
        <f>4.5+656</f>
        <v>660.5</v>
      </c>
      <c r="J22" s="45" t="s">
        <v>157</v>
      </c>
      <c r="K22" s="43">
        <v>4</v>
      </c>
      <c r="L22" s="43">
        <v>3</v>
      </c>
      <c r="M22" s="44">
        <f t="shared" si="0"/>
        <v>2184</v>
      </c>
      <c r="N22" s="44"/>
      <c r="O22" s="44"/>
      <c r="P22" s="44">
        <v>150</v>
      </c>
      <c r="Q22" s="44">
        <v>37</v>
      </c>
      <c r="R22" s="44">
        <f t="shared" si="21"/>
        <v>0</v>
      </c>
      <c r="S22" s="44"/>
      <c r="T22" s="44">
        <f t="shared" si="2"/>
        <v>524</v>
      </c>
      <c r="U22" s="44">
        <v>13</v>
      </c>
      <c r="V22" s="44">
        <f>121+390</f>
        <v>511</v>
      </c>
      <c r="W22" s="44">
        <f t="shared" si="3"/>
        <v>1773</v>
      </c>
      <c r="X22" s="44">
        <f t="shared" si="13"/>
        <v>2134</v>
      </c>
      <c r="Y22" s="44">
        <f t="shared" si="14"/>
        <v>2134</v>
      </c>
      <c r="Z22" s="44">
        <f t="shared" si="4"/>
        <v>2284</v>
      </c>
      <c r="AA22" s="44"/>
      <c r="AB22" s="44"/>
      <c r="AC22" s="44"/>
      <c r="AD22" s="44"/>
      <c r="AE22" s="44"/>
      <c r="AF22" s="44"/>
      <c r="AG22" s="44"/>
      <c r="AH22" s="44"/>
      <c r="AI22" s="44"/>
      <c r="AJ22" s="44"/>
      <c r="AK22" s="44"/>
      <c r="AL22" s="44"/>
      <c r="AM22" s="44"/>
      <c r="AN22" s="44">
        <f>390+656</f>
        <v>1046</v>
      </c>
      <c r="AO22" s="44"/>
      <c r="AP22" s="44"/>
      <c r="AQ22" s="44"/>
      <c r="AR22" s="44"/>
      <c r="AS22" s="44"/>
      <c r="AT22" s="44"/>
      <c r="AU22" s="46"/>
      <c r="AV22" s="44"/>
      <c r="AW22" s="44"/>
      <c r="AX22" s="44"/>
      <c r="AY22" s="44"/>
      <c r="AZ22" s="44"/>
      <c r="BA22" s="44"/>
      <c r="BB22" s="44"/>
      <c r="BC22" s="44"/>
      <c r="BD22" s="44">
        <v>705</v>
      </c>
      <c r="BE22" s="44"/>
      <c r="BF22" s="44">
        <v>121</v>
      </c>
      <c r="BG22" s="44"/>
      <c r="BH22" s="44">
        <v>262</v>
      </c>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f t="shared" si="5"/>
        <v>150</v>
      </c>
      <c r="CW22" s="44">
        <f t="shared" si="6"/>
        <v>0</v>
      </c>
      <c r="CX22" s="47">
        <f t="shared" si="7"/>
        <v>660.5</v>
      </c>
      <c r="CY22" s="47">
        <v>4.5</v>
      </c>
      <c r="CZ22" s="31">
        <f t="shared" si="15"/>
        <v>0</v>
      </c>
      <c r="DA22" s="88" t="s">
        <v>403</v>
      </c>
      <c r="DB22" s="44">
        <v>656</v>
      </c>
      <c r="DC22" s="42" t="s">
        <v>156</v>
      </c>
      <c r="DD22" s="40" t="s">
        <v>158</v>
      </c>
      <c r="DE22" s="48" t="s">
        <v>159</v>
      </c>
      <c r="DF22" s="40">
        <v>7</v>
      </c>
      <c r="DG22" s="49">
        <f>660.5-4.5</f>
        <v>656</v>
      </c>
      <c r="DH22" s="42" t="s">
        <v>449</v>
      </c>
      <c r="DI22" s="1" t="s">
        <v>509</v>
      </c>
      <c r="DJ22" s="62" t="s">
        <v>511</v>
      </c>
      <c r="DK22" s="49">
        <v>656</v>
      </c>
      <c r="DL22" s="71">
        <f t="shared" si="16"/>
        <v>1.8222222222222222</v>
      </c>
      <c r="DM22" s="68">
        <f t="shared" si="8"/>
        <v>49200000</v>
      </c>
      <c r="DN22" s="68">
        <f t="shared" si="9"/>
        <v>147600000</v>
      </c>
      <c r="DO22" s="50">
        <v>5</v>
      </c>
      <c r="DP22" s="33">
        <f t="shared" si="10"/>
        <v>36.999435984207558</v>
      </c>
      <c r="DQ22" s="50">
        <v>6</v>
      </c>
      <c r="DR22" s="69">
        <f t="shared" si="17"/>
        <v>15300000</v>
      </c>
      <c r="DS22" s="49">
        <v>656</v>
      </c>
      <c r="DT22" s="68">
        <f t="shared" si="18"/>
        <v>19680000</v>
      </c>
      <c r="DU22" s="36">
        <f>4.5+656</f>
        <v>660.5</v>
      </c>
      <c r="DV22" s="68">
        <f t="shared" si="19"/>
        <v>6560000</v>
      </c>
      <c r="DW22" s="69">
        <f t="shared" si="11"/>
        <v>238340000</v>
      </c>
      <c r="DX22" s="33">
        <f t="shared" si="12"/>
        <v>0</v>
      </c>
    </row>
    <row r="23" spans="1:128" s="38" customFormat="1" ht="50.25" customHeight="1">
      <c r="A23" s="26">
        <v>17</v>
      </c>
      <c r="B23" s="27" t="s">
        <v>160</v>
      </c>
      <c r="C23" s="89" t="s">
        <v>161</v>
      </c>
      <c r="D23" s="88" t="s">
        <v>417</v>
      </c>
      <c r="E23" s="87" t="s">
        <v>109</v>
      </c>
      <c r="F23" s="28" t="s">
        <v>104</v>
      </c>
      <c r="G23" s="26">
        <v>619</v>
      </c>
      <c r="H23" s="26">
        <v>49</v>
      </c>
      <c r="I23" s="29">
        <f>4.7+318.8</f>
        <v>323.5</v>
      </c>
      <c r="J23" s="88" t="s">
        <v>162</v>
      </c>
      <c r="K23" s="87">
        <v>2</v>
      </c>
      <c r="L23" s="87">
        <v>2</v>
      </c>
      <c r="M23" s="29">
        <f t="shared" si="0"/>
        <v>1132</v>
      </c>
      <c r="N23" s="29"/>
      <c r="O23" s="29"/>
      <c r="P23" s="29">
        <f t="shared" ref="P23:P27" si="22">Q23*4</f>
        <v>240</v>
      </c>
      <c r="Q23" s="29">
        <f>10+50</f>
        <v>60</v>
      </c>
      <c r="R23" s="29">
        <f t="shared" si="21"/>
        <v>236</v>
      </c>
      <c r="S23" s="29">
        <f>93+25</f>
        <v>118</v>
      </c>
      <c r="T23" s="29">
        <f t="shared" si="2"/>
        <v>418.5</v>
      </c>
      <c r="U23" s="29"/>
      <c r="V23" s="29">
        <f>113+305.5</f>
        <v>418.5</v>
      </c>
      <c r="W23" s="29">
        <f t="shared" si="3"/>
        <v>1011.5</v>
      </c>
      <c r="X23" s="29">
        <f t="shared" si="13"/>
        <v>954</v>
      </c>
      <c r="Y23" s="29">
        <f t="shared" si="14"/>
        <v>954</v>
      </c>
      <c r="Z23" s="29">
        <f t="shared" si="4"/>
        <v>1430</v>
      </c>
      <c r="AA23" s="29"/>
      <c r="AB23" s="29"/>
      <c r="AC23" s="29"/>
      <c r="AD23" s="29"/>
      <c r="AE23" s="29"/>
      <c r="AF23" s="29"/>
      <c r="AG23" s="29"/>
      <c r="AH23" s="29"/>
      <c r="AI23" s="29"/>
      <c r="AJ23" s="29"/>
      <c r="AK23" s="29"/>
      <c r="AL23" s="29"/>
      <c r="AM23" s="29"/>
      <c r="AN23" s="29">
        <v>629</v>
      </c>
      <c r="AO23" s="29"/>
      <c r="AP23" s="29"/>
      <c r="AQ23" s="29"/>
      <c r="AR23" s="29"/>
      <c r="AS23" s="29"/>
      <c r="AT23" s="29"/>
      <c r="AU23" s="30"/>
      <c r="AV23" s="29"/>
      <c r="AW23" s="29"/>
      <c r="AX23" s="29"/>
      <c r="AY23" s="29"/>
      <c r="AZ23" s="29"/>
      <c r="BA23" s="29"/>
      <c r="BB23" s="29"/>
      <c r="BC23" s="29"/>
      <c r="BD23" s="29">
        <v>212</v>
      </c>
      <c r="BE23" s="29"/>
      <c r="BF23" s="29"/>
      <c r="BG23" s="29">
        <v>113</v>
      </c>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f t="shared" si="5"/>
        <v>240</v>
      </c>
      <c r="CW23" s="29">
        <f t="shared" si="6"/>
        <v>236</v>
      </c>
      <c r="CX23" s="47">
        <f t="shared" si="7"/>
        <v>323.5</v>
      </c>
      <c r="CY23" s="31">
        <v>0</v>
      </c>
      <c r="CZ23" s="31">
        <f t="shared" si="15"/>
        <v>0</v>
      </c>
      <c r="DA23" s="88" t="s">
        <v>403</v>
      </c>
      <c r="DB23" s="29">
        <f>629-305.5</f>
        <v>323.5</v>
      </c>
      <c r="DC23" s="89"/>
      <c r="DD23" s="26"/>
      <c r="DE23" s="26"/>
      <c r="DF23" s="26"/>
      <c r="DG23" s="33"/>
      <c r="DH23" s="36" t="s">
        <v>417</v>
      </c>
      <c r="DI23" s="6" t="s">
        <v>508</v>
      </c>
      <c r="DJ23" s="7" t="s">
        <v>511</v>
      </c>
      <c r="DK23" s="33">
        <f>4.7+318.8</f>
        <v>323.5</v>
      </c>
      <c r="DL23" s="71">
        <f t="shared" si="16"/>
        <v>0.89861111111111114</v>
      </c>
      <c r="DM23" s="68">
        <f t="shared" si="8"/>
        <v>24263000</v>
      </c>
      <c r="DN23" s="68">
        <f t="shared" si="9"/>
        <v>72788000</v>
      </c>
      <c r="DO23" s="35">
        <v>1</v>
      </c>
      <c r="DP23" s="33">
        <f t="shared" si="10"/>
        <v>31.982204646564512</v>
      </c>
      <c r="DQ23" s="35">
        <v>6</v>
      </c>
      <c r="DR23" s="69">
        <f t="shared" si="17"/>
        <v>3060000</v>
      </c>
      <c r="DS23" s="33">
        <v>323.5</v>
      </c>
      <c r="DT23" s="68">
        <f t="shared" si="18"/>
        <v>9705000</v>
      </c>
      <c r="DU23" s="36">
        <f>323.5</f>
        <v>323.5</v>
      </c>
      <c r="DV23" s="68">
        <f t="shared" si="19"/>
        <v>3235000</v>
      </c>
      <c r="DW23" s="69">
        <f t="shared" si="11"/>
        <v>113051000</v>
      </c>
      <c r="DX23" s="33">
        <f t="shared" si="12"/>
        <v>0</v>
      </c>
    </row>
    <row r="24" spans="1:128" s="38" customFormat="1" ht="34.5" customHeight="1">
      <c r="A24" s="26">
        <v>18</v>
      </c>
      <c r="B24" s="27" t="s">
        <v>163</v>
      </c>
      <c r="C24" s="89" t="s">
        <v>164</v>
      </c>
      <c r="D24" s="88" t="s">
        <v>168</v>
      </c>
      <c r="E24" s="87" t="s">
        <v>109</v>
      </c>
      <c r="F24" s="28" t="s">
        <v>104</v>
      </c>
      <c r="G24" s="26">
        <v>620</v>
      </c>
      <c r="H24" s="26">
        <v>49</v>
      </c>
      <c r="I24" s="29">
        <f>2.8+288+477.8+467</f>
        <v>1235.5999999999999</v>
      </c>
      <c r="J24" s="88" t="s">
        <v>165</v>
      </c>
      <c r="K24" s="87">
        <v>4</v>
      </c>
      <c r="L24" s="87">
        <v>5</v>
      </c>
      <c r="M24" s="29">
        <f t="shared" si="0"/>
        <v>2344</v>
      </c>
      <c r="N24" s="29"/>
      <c r="O24" s="29"/>
      <c r="P24" s="29">
        <f t="shared" si="22"/>
        <v>0</v>
      </c>
      <c r="Q24" s="29"/>
      <c r="R24" s="29">
        <f t="shared" si="21"/>
        <v>150</v>
      </c>
      <c r="S24" s="29">
        <f>30+45</f>
        <v>75</v>
      </c>
      <c r="T24" s="29">
        <f t="shared" si="2"/>
        <v>416.2</v>
      </c>
      <c r="U24" s="29">
        <v>20</v>
      </c>
      <c r="V24" s="29">
        <v>396.2</v>
      </c>
      <c r="W24" s="29">
        <f t="shared" si="3"/>
        <v>2002.8</v>
      </c>
      <c r="X24" s="29">
        <f t="shared" si="13"/>
        <v>2249</v>
      </c>
      <c r="Y24" s="29">
        <f t="shared" si="14"/>
        <v>2249</v>
      </c>
      <c r="Z24" s="29">
        <f t="shared" si="4"/>
        <v>2399</v>
      </c>
      <c r="AA24" s="29"/>
      <c r="AB24" s="29"/>
      <c r="AC24" s="29"/>
      <c r="AD24" s="29"/>
      <c r="AE24" s="29"/>
      <c r="AF24" s="29"/>
      <c r="AG24" s="29"/>
      <c r="AH24" s="29"/>
      <c r="AI24" s="29"/>
      <c r="AJ24" s="29"/>
      <c r="AK24" s="29"/>
      <c r="AL24" s="29"/>
      <c r="AM24" s="29"/>
      <c r="AN24" s="29">
        <v>1629</v>
      </c>
      <c r="AO24" s="29"/>
      <c r="AP24" s="29"/>
      <c r="AQ24" s="29"/>
      <c r="AR24" s="29"/>
      <c r="AS24" s="29"/>
      <c r="AT24" s="29"/>
      <c r="AU24" s="30"/>
      <c r="AV24" s="29"/>
      <c r="AW24" s="29"/>
      <c r="AX24" s="29"/>
      <c r="AY24" s="29"/>
      <c r="AZ24" s="29"/>
      <c r="BA24" s="29"/>
      <c r="BB24" s="29"/>
      <c r="BC24" s="29">
        <v>253</v>
      </c>
      <c r="BD24" s="29">
        <f>367</f>
        <v>367</v>
      </c>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f t="shared" si="5"/>
        <v>0</v>
      </c>
      <c r="CW24" s="29">
        <f t="shared" si="6"/>
        <v>150</v>
      </c>
      <c r="CX24" s="47">
        <f t="shared" si="7"/>
        <v>1235.5999999999999</v>
      </c>
      <c r="CY24" s="31">
        <v>2.8</v>
      </c>
      <c r="CZ24" s="31">
        <f t="shared" si="15"/>
        <v>0</v>
      </c>
      <c r="DA24" s="88" t="s">
        <v>403</v>
      </c>
      <c r="DB24" s="29">
        <f>1629-396.2</f>
        <v>1232.8</v>
      </c>
      <c r="DC24" s="89" t="s">
        <v>166</v>
      </c>
      <c r="DD24" s="26" t="s">
        <v>167</v>
      </c>
      <c r="DE24" s="32" t="s">
        <v>137</v>
      </c>
      <c r="DF24" s="26">
        <v>4</v>
      </c>
      <c r="DG24" s="33">
        <f>560.5-86</f>
        <v>474.5</v>
      </c>
      <c r="DH24" s="45" t="s">
        <v>532</v>
      </c>
      <c r="DI24" s="6" t="s">
        <v>508</v>
      </c>
      <c r="DJ24" s="7" t="s">
        <v>511</v>
      </c>
      <c r="DK24" s="33">
        <f>288+477.8+467</f>
        <v>1232.8</v>
      </c>
      <c r="DL24" s="71">
        <f t="shared" si="16"/>
        <v>3.4244444444444442</v>
      </c>
      <c r="DM24" s="68">
        <f t="shared" si="8"/>
        <v>92460000</v>
      </c>
      <c r="DN24" s="68">
        <f t="shared" si="9"/>
        <v>277380000</v>
      </c>
      <c r="DO24" s="35">
        <v>7</v>
      </c>
      <c r="DP24" s="33">
        <f t="shared" si="10"/>
        <v>61.553824645496306</v>
      </c>
      <c r="DQ24" s="35">
        <v>6</v>
      </c>
      <c r="DR24" s="69">
        <f t="shared" si="17"/>
        <v>21420000</v>
      </c>
      <c r="DS24" s="33">
        <v>1232.8</v>
      </c>
      <c r="DT24" s="68">
        <f t="shared" si="18"/>
        <v>36984000</v>
      </c>
      <c r="DU24" s="36">
        <f>2.8+1232.8</f>
        <v>1235.5999999999999</v>
      </c>
      <c r="DV24" s="68">
        <f t="shared" si="19"/>
        <v>12328000</v>
      </c>
      <c r="DW24" s="69">
        <f t="shared" si="11"/>
        <v>440572000</v>
      </c>
      <c r="DX24" s="33">
        <f t="shared" si="12"/>
        <v>0</v>
      </c>
    </row>
    <row r="25" spans="1:128" s="38" customFormat="1" ht="21" customHeight="1">
      <c r="A25" s="26">
        <v>19</v>
      </c>
      <c r="B25" s="27" t="s">
        <v>169</v>
      </c>
      <c r="C25" s="89" t="s">
        <v>170</v>
      </c>
      <c r="D25" s="89" t="s">
        <v>172</v>
      </c>
      <c r="E25" s="87" t="s">
        <v>109</v>
      </c>
      <c r="F25" s="28" t="s">
        <v>104</v>
      </c>
      <c r="G25" s="26">
        <v>621</v>
      </c>
      <c r="H25" s="26">
        <v>49</v>
      </c>
      <c r="I25" s="29">
        <f>8.8+205.9</f>
        <v>214.70000000000002</v>
      </c>
      <c r="J25" s="88" t="s">
        <v>171</v>
      </c>
      <c r="K25" s="87">
        <v>1</v>
      </c>
      <c r="L25" s="87">
        <v>1</v>
      </c>
      <c r="M25" s="29">
        <f t="shared" si="0"/>
        <v>566</v>
      </c>
      <c r="N25" s="29"/>
      <c r="O25" s="29"/>
      <c r="P25" s="29">
        <f t="shared" si="22"/>
        <v>0</v>
      </c>
      <c r="Q25" s="29"/>
      <c r="R25" s="29">
        <f t="shared" si="21"/>
        <v>0</v>
      </c>
      <c r="S25" s="29"/>
      <c r="T25" s="29">
        <f t="shared" si="2"/>
        <v>24.1</v>
      </c>
      <c r="U25" s="29">
        <v>3</v>
      </c>
      <c r="V25" s="29">
        <v>21.1</v>
      </c>
      <c r="W25" s="29">
        <f t="shared" si="3"/>
        <v>541.9</v>
      </c>
      <c r="X25" s="29">
        <f t="shared" si="13"/>
        <v>563</v>
      </c>
      <c r="Y25" s="29">
        <f t="shared" si="14"/>
        <v>563</v>
      </c>
      <c r="Z25" s="29">
        <f t="shared" si="4"/>
        <v>563</v>
      </c>
      <c r="AA25" s="29"/>
      <c r="AB25" s="29"/>
      <c r="AC25" s="29"/>
      <c r="AD25" s="29"/>
      <c r="AE25" s="29"/>
      <c r="AF25" s="29"/>
      <c r="AG25" s="29"/>
      <c r="AH25" s="29"/>
      <c r="AI25" s="29"/>
      <c r="AJ25" s="29"/>
      <c r="AK25" s="29"/>
      <c r="AL25" s="29"/>
      <c r="AM25" s="29"/>
      <c r="AN25" s="29">
        <v>227</v>
      </c>
      <c r="AO25" s="29"/>
      <c r="AP25" s="29"/>
      <c r="AQ25" s="29"/>
      <c r="AR25" s="29"/>
      <c r="AS25" s="29"/>
      <c r="AT25" s="29"/>
      <c r="AU25" s="30"/>
      <c r="AV25" s="29"/>
      <c r="AW25" s="29"/>
      <c r="AX25" s="29"/>
      <c r="AY25" s="29"/>
      <c r="AZ25" s="29"/>
      <c r="BA25" s="29"/>
      <c r="BB25" s="29">
        <v>243</v>
      </c>
      <c r="BC25" s="29">
        <v>93</v>
      </c>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f t="shared" si="5"/>
        <v>0</v>
      </c>
      <c r="CW25" s="29">
        <f t="shared" si="6"/>
        <v>0</v>
      </c>
      <c r="CX25" s="47">
        <f t="shared" si="7"/>
        <v>214.70000000000002</v>
      </c>
      <c r="CY25" s="31">
        <v>8.8000000000000007</v>
      </c>
      <c r="CZ25" s="31">
        <f t="shared" si="15"/>
        <v>0</v>
      </c>
      <c r="DA25" s="88" t="s">
        <v>403</v>
      </c>
      <c r="DB25" s="29">
        <f>227-21.1</f>
        <v>205.9</v>
      </c>
      <c r="DC25" s="89"/>
      <c r="DD25" s="26"/>
      <c r="DE25" s="26"/>
      <c r="DF25" s="26"/>
      <c r="DG25" s="33"/>
      <c r="DH25" s="39" t="s">
        <v>172</v>
      </c>
      <c r="DI25" s="6" t="s">
        <v>508</v>
      </c>
      <c r="DJ25" s="7" t="s">
        <v>511</v>
      </c>
      <c r="DK25" s="33">
        <v>205.9</v>
      </c>
      <c r="DL25" s="71">
        <f t="shared" si="16"/>
        <v>0.57194444444444448</v>
      </c>
      <c r="DM25" s="68">
        <f t="shared" si="8"/>
        <v>15443000</v>
      </c>
      <c r="DN25" s="68">
        <f t="shared" si="9"/>
        <v>46328000</v>
      </c>
      <c r="DO25" s="35">
        <v>1</v>
      </c>
      <c r="DP25" s="33">
        <f t="shared" si="10"/>
        <v>37.995940210370918</v>
      </c>
      <c r="DQ25" s="35">
        <v>6</v>
      </c>
      <c r="DR25" s="69">
        <f t="shared" si="17"/>
        <v>3060000</v>
      </c>
      <c r="DS25" s="33">
        <v>205.9</v>
      </c>
      <c r="DT25" s="68">
        <f t="shared" si="18"/>
        <v>6177000</v>
      </c>
      <c r="DU25" s="36">
        <f>8.8+205.9</f>
        <v>214.70000000000002</v>
      </c>
      <c r="DV25" s="68">
        <f t="shared" si="19"/>
        <v>2059000</v>
      </c>
      <c r="DW25" s="69">
        <f t="shared" si="11"/>
        <v>73067000</v>
      </c>
      <c r="DX25" s="33">
        <f t="shared" si="12"/>
        <v>0</v>
      </c>
    </row>
    <row r="26" spans="1:128" s="38" customFormat="1" ht="33.75" customHeight="1">
      <c r="A26" s="26">
        <v>20</v>
      </c>
      <c r="B26" s="27" t="s">
        <v>173</v>
      </c>
      <c r="C26" s="89" t="s">
        <v>174</v>
      </c>
      <c r="D26" s="88" t="s">
        <v>418</v>
      </c>
      <c r="E26" s="87" t="s">
        <v>109</v>
      </c>
      <c r="F26" s="28" t="s">
        <v>104</v>
      </c>
      <c r="G26" s="26">
        <v>622</v>
      </c>
      <c r="H26" s="26">
        <v>49</v>
      </c>
      <c r="I26" s="29">
        <v>1003.3</v>
      </c>
      <c r="J26" s="88" t="s">
        <v>175</v>
      </c>
      <c r="K26" s="26">
        <v>3</v>
      </c>
      <c r="L26" s="26">
        <v>3</v>
      </c>
      <c r="M26" s="29">
        <f t="shared" si="0"/>
        <v>1698</v>
      </c>
      <c r="N26" s="29"/>
      <c r="O26" s="29"/>
      <c r="P26" s="29">
        <f t="shared" si="22"/>
        <v>0</v>
      </c>
      <c r="Q26" s="29"/>
      <c r="R26" s="29">
        <f t="shared" si="21"/>
        <v>0</v>
      </c>
      <c r="S26" s="29"/>
      <c r="T26" s="29">
        <f t="shared" si="2"/>
        <v>185.1</v>
      </c>
      <c r="U26" s="29">
        <v>13</v>
      </c>
      <c r="V26" s="29">
        <f>24.1+148</f>
        <v>172.1</v>
      </c>
      <c r="W26" s="29">
        <f t="shared" si="3"/>
        <v>1512.9</v>
      </c>
      <c r="X26" s="29">
        <f t="shared" si="13"/>
        <v>1685</v>
      </c>
      <c r="Y26" s="29">
        <f t="shared" si="14"/>
        <v>1685</v>
      </c>
      <c r="Z26" s="29">
        <f t="shared" si="4"/>
        <v>1685</v>
      </c>
      <c r="AA26" s="29"/>
      <c r="AB26" s="29"/>
      <c r="AC26" s="29"/>
      <c r="AD26" s="29"/>
      <c r="AE26" s="29"/>
      <c r="AF26" s="29"/>
      <c r="AG26" s="29"/>
      <c r="AH26" s="29"/>
      <c r="AI26" s="29"/>
      <c r="AJ26" s="29"/>
      <c r="AK26" s="29"/>
      <c r="AL26" s="29"/>
      <c r="AM26" s="29"/>
      <c r="AN26" s="29">
        <v>1027</v>
      </c>
      <c r="AO26" s="29"/>
      <c r="AP26" s="29"/>
      <c r="AQ26" s="29"/>
      <c r="AR26" s="29"/>
      <c r="AS26" s="29"/>
      <c r="AT26" s="29"/>
      <c r="AU26" s="30"/>
      <c r="AV26" s="29"/>
      <c r="AW26" s="29"/>
      <c r="AX26" s="29"/>
      <c r="AY26" s="29"/>
      <c r="AZ26" s="29"/>
      <c r="BA26" s="29"/>
      <c r="BB26" s="29"/>
      <c r="BC26" s="29">
        <v>90</v>
      </c>
      <c r="BD26" s="29">
        <v>420</v>
      </c>
      <c r="BE26" s="29"/>
      <c r="BF26" s="29">
        <v>148</v>
      </c>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f t="shared" si="5"/>
        <v>0</v>
      </c>
      <c r="CW26" s="29">
        <f t="shared" si="6"/>
        <v>0</v>
      </c>
      <c r="CX26" s="47">
        <f t="shared" si="7"/>
        <v>1003.3</v>
      </c>
      <c r="CY26" s="31">
        <v>0</v>
      </c>
      <c r="CZ26" s="31">
        <f t="shared" si="15"/>
        <v>0</v>
      </c>
      <c r="DA26" s="88" t="s">
        <v>403</v>
      </c>
      <c r="DB26" s="29">
        <f>1027-24.1</f>
        <v>1002.9</v>
      </c>
      <c r="DC26" s="89"/>
      <c r="DD26" s="26"/>
      <c r="DE26" s="26"/>
      <c r="DF26" s="26"/>
      <c r="DG26" s="33"/>
      <c r="DH26" s="45" t="s">
        <v>493</v>
      </c>
      <c r="DI26" s="6" t="s">
        <v>508</v>
      </c>
      <c r="DJ26" s="7" t="s">
        <v>511</v>
      </c>
      <c r="DK26" s="33">
        <v>1003.3</v>
      </c>
      <c r="DL26" s="71">
        <f t="shared" si="16"/>
        <v>2.7869444444444444</v>
      </c>
      <c r="DM26" s="68">
        <f t="shared" si="8"/>
        <v>75248000</v>
      </c>
      <c r="DN26" s="68">
        <f t="shared" si="9"/>
        <v>225743000</v>
      </c>
      <c r="DO26" s="35">
        <v>5</v>
      </c>
      <c r="DP26" s="33">
        <f t="shared" si="10"/>
        <v>66.316346090290168</v>
      </c>
      <c r="DQ26" s="35">
        <v>6</v>
      </c>
      <c r="DR26" s="69">
        <f t="shared" si="17"/>
        <v>15300000</v>
      </c>
      <c r="DS26" s="33">
        <v>1003.3</v>
      </c>
      <c r="DT26" s="68">
        <f t="shared" si="18"/>
        <v>30099000</v>
      </c>
      <c r="DU26" s="36">
        <v>1003.3</v>
      </c>
      <c r="DV26" s="68">
        <f t="shared" si="19"/>
        <v>10033000</v>
      </c>
      <c r="DW26" s="69">
        <f t="shared" si="11"/>
        <v>356423000</v>
      </c>
      <c r="DX26" s="33">
        <f t="shared" si="12"/>
        <v>0</v>
      </c>
    </row>
    <row r="27" spans="1:128" s="38" customFormat="1" ht="30" customHeight="1">
      <c r="A27" s="26">
        <v>21</v>
      </c>
      <c r="B27" s="27" t="s">
        <v>176</v>
      </c>
      <c r="C27" s="89" t="s">
        <v>177</v>
      </c>
      <c r="D27" s="89" t="s">
        <v>450</v>
      </c>
      <c r="E27" s="87" t="s">
        <v>109</v>
      </c>
      <c r="F27" s="28" t="s">
        <v>104</v>
      </c>
      <c r="G27" s="26">
        <v>623</v>
      </c>
      <c r="H27" s="26">
        <v>49</v>
      </c>
      <c r="I27" s="29">
        <f>1.5+1198</f>
        <v>1199.5</v>
      </c>
      <c r="J27" s="88" t="s">
        <v>178</v>
      </c>
      <c r="K27" s="87">
        <v>2</v>
      </c>
      <c r="L27" s="87">
        <v>3</v>
      </c>
      <c r="M27" s="29">
        <f t="shared" si="0"/>
        <v>1212</v>
      </c>
      <c r="N27" s="29"/>
      <c r="O27" s="29"/>
      <c r="P27" s="29">
        <f t="shared" si="22"/>
        <v>0</v>
      </c>
      <c r="Q27" s="29"/>
      <c r="R27" s="29">
        <f t="shared" si="21"/>
        <v>0</v>
      </c>
      <c r="S27" s="29"/>
      <c r="T27" s="29">
        <f t="shared" si="2"/>
        <v>14</v>
      </c>
      <c r="U27" s="29">
        <v>14</v>
      </c>
      <c r="V27" s="29"/>
      <c r="W27" s="29">
        <f t="shared" si="3"/>
        <v>1198</v>
      </c>
      <c r="X27" s="29">
        <f t="shared" si="13"/>
        <v>1198</v>
      </c>
      <c r="Y27" s="29">
        <f t="shared" si="14"/>
        <v>1198</v>
      </c>
      <c r="Z27" s="29">
        <f t="shared" si="4"/>
        <v>1198</v>
      </c>
      <c r="AA27" s="29"/>
      <c r="AB27" s="29"/>
      <c r="AC27" s="29"/>
      <c r="AD27" s="29"/>
      <c r="AE27" s="29"/>
      <c r="AF27" s="29"/>
      <c r="AG27" s="29"/>
      <c r="AH27" s="29"/>
      <c r="AI27" s="29"/>
      <c r="AJ27" s="29"/>
      <c r="AK27" s="29"/>
      <c r="AL27" s="29"/>
      <c r="AM27" s="29"/>
      <c r="AN27" s="29">
        <v>1198</v>
      </c>
      <c r="AO27" s="29"/>
      <c r="AP27" s="29"/>
      <c r="AQ27" s="29"/>
      <c r="AR27" s="29"/>
      <c r="AS27" s="29"/>
      <c r="AT27" s="29"/>
      <c r="AU27" s="30"/>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f t="shared" si="5"/>
        <v>0</v>
      </c>
      <c r="CW27" s="29">
        <f t="shared" si="6"/>
        <v>0</v>
      </c>
      <c r="CX27" s="31">
        <f t="shared" si="7"/>
        <v>1199.5</v>
      </c>
      <c r="CY27" s="31">
        <v>1.5</v>
      </c>
      <c r="CZ27" s="31">
        <f t="shared" si="15"/>
        <v>0</v>
      </c>
      <c r="DA27" s="88" t="s">
        <v>403</v>
      </c>
      <c r="DB27" s="29">
        <v>1198</v>
      </c>
      <c r="DC27" s="35"/>
      <c r="DD27" s="35"/>
      <c r="DE27" s="35"/>
      <c r="DF27" s="35"/>
      <c r="DG27" s="33"/>
      <c r="DH27" s="39" t="s">
        <v>450</v>
      </c>
      <c r="DI27" s="6" t="s">
        <v>508</v>
      </c>
      <c r="DJ27" s="7" t="s">
        <v>511</v>
      </c>
      <c r="DK27" s="33">
        <v>1198</v>
      </c>
      <c r="DL27" s="71">
        <f t="shared" si="16"/>
        <v>3.3277777777777779</v>
      </c>
      <c r="DM27" s="68">
        <f t="shared" si="8"/>
        <v>89850000</v>
      </c>
      <c r="DN27" s="68">
        <f t="shared" si="9"/>
        <v>269550000</v>
      </c>
      <c r="DO27" s="35">
        <v>4</v>
      </c>
      <c r="DP27" s="33">
        <f t="shared" si="10"/>
        <v>100</v>
      </c>
      <c r="DQ27" s="35">
        <v>12</v>
      </c>
      <c r="DR27" s="69">
        <f t="shared" si="17"/>
        <v>24480000</v>
      </c>
      <c r="DS27" s="33">
        <v>1198</v>
      </c>
      <c r="DT27" s="68">
        <f t="shared" si="18"/>
        <v>35940000</v>
      </c>
      <c r="DU27" s="36">
        <f>1.5+1198</f>
        <v>1199.5</v>
      </c>
      <c r="DV27" s="68">
        <f t="shared" si="19"/>
        <v>11980000</v>
      </c>
      <c r="DW27" s="69">
        <f t="shared" si="11"/>
        <v>431800000</v>
      </c>
      <c r="DX27" s="33">
        <f t="shared" si="12"/>
        <v>0</v>
      </c>
    </row>
    <row r="28" spans="1:128" s="38" customFormat="1" ht="33.75" customHeight="1">
      <c r="A28" s="26">
        <v>22</v>
      </c>
      <c r="B28" s="27" t="s">
        <v>179</v>
      </c>
      <c r="C28" s="89" t="s">
        <v>180</v>
      </c>
      <c r="D28" s="89" t="s">
        <v>451</v>
      </c>
      <c r="E28" s="87" t="s">
        <v>109</v>
      </c>
      <c r="F28" s="28" t="s">
        <v>104</v>
      </c>
      <c r="G28" s="26">
        <v>624</v>
      </c>
      <c r="H28" s="26">
        <v>49</v>
      </c>
      <c r="I28" s="29">
        <f>1.9+1225</f>
        <v>1226.9000000000001</v>
      </c>
      <c r="J28" s="88" t="s">
        <v>181</v>
      </c>
      <c r="K28" s="87">
        <v>3</v>
      </c>
      <c r="L28" s="87">
        <v>4</v>
      </c>
      <c r="M28" s="29">
        <f t="shared" si="0"/>
        <v>1778</v>
      </c>
      <c r="N28" s="29"/>
      <c r="O28" s="29"/>
      <c r="P28" s="29">
        <v>95</v>
      </c>
      <c r="Q28" s="29">
        <v>23</v>
      </c>
      <c r="R28" s="29">
        <f t="shared" si="21"/>
        <v>0</v>
      </c>
      <c r="S28" s="29"/>
      <c r="T28" s="29">
        <f t="shared" si="2"/>
        <v>286</v>
      </c>
      <c r="U28" s="29">
        <v>15</v>
      </c>
      <c r="V28" s="29">
        <v>271</v>
      </c>
      <c r="W28" s="29">
        <f t="shared" si="3"/>
        <v>1564</v>
      </c>
      <c r="X28" s="29">
        <f t="shared" si="13"/>
        <v>1740</v>
      </c>
      <c r="Y28" s="29">
        <f t="shared" si="14"/>
        <v>1740</v>
      </c>
      <c r="Z28" s="29">
        <f t="shared" si="4"/>
        <v>1835</v>
      </c>
      <c r="AA28" s="29"/>
      <c r="AB28" s="29"/>
      <c r="AC28" s="29"/>
      <c r="AD28" s="29"/>
      <c r="AE28" s="29"/>
      <c r="AF28" s="29"/>
      <c r="AG28" s="29"/>
      <c r="AH28" s="29"/>
      <c r="AI28" s="29"/>
      <c r="AJ28" s="29"/>
      <c r="AK28" s="29"/>
      <c r="AL28" s="29"/>
      <c r="AM28" s="29"/>
      <c r="AN28" s="29">
        <v>1225</v>
      </c>
      <c r="AO28" s="29"/>
      <c r="AP28" s="29"/>
      <c r="AQ28" s="29"/>
      <c r="AR28" s="29"/>
      <c r="AS28" s="29"/>
      <c r="AT28" s="29"/>
      <c r="AU28" s="30"/>
      <c r="AV28" s="29"/>
      <c r="AW28" s="29"/>
      <c r="AX28" s="29"/>
      <c r="AY28" s="29"/>
      <c r="AZ28" s="29"/>
      <c r="BA28" s="29"/>
      <c r="BB28" s="29"/>
      <c r="BC28" s="29">
        <v>126</v>
      </c>
      <c r="BD28" s="29">
        <v>118</v>
      </c>
      <c r="BE28" s="29"/>
      <c r="BF28" s="29"/>
      <c r="BG28" s="29">
        <v>271</v>
      </c>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f t="shared" si="5"/>
        <v>95</v>
      </c>
      <c r="CW28" s="29">
        <f t="shared" si="6"/>
        <v>0</v>
      </c>
      <c r="CX28" s="31">
        <f t="shared" si="7"/>
        <v>1226.9000000000003</v>
      </c>
      <c r="CY28" s="31">
        <v>1.9</v>
      </c>
      <c r="CZ28" s="31">
        <f t="shared" si="15"/>
        <v>0</v>
      </c>
      <c r="DA28" s="88" t="s">
        <v>403</v>
      </c>
      <c r="DB28" s="29">
        <v>1225</v>
      </c>
      <c r="DC28" s="35"/>
      <c r="DD28" s="35"/>
      <c r="DE28" s="35"/>
      <c r="DF28" s="35"/>
      <c r="DG28" s="33"/>
      <c r="DH28" s="39" t="s">
        <v>451</v>
      </c>
      <c r="DI28" s="6" t="s">
        <v>508</v>
      </c>
      <c r="DJ28" s="7" t="s">
        <v>511</v>
      </c>
      <c r="DK28" s="33">
        <v>1225.0000000000002</v>
      </c>
      <c r="DL28" s="71">
        <f t="shared" si="16"/>
        <v>3.4027777777777786</v>
      </c>
      <c r="DM28" s="68">
        <f t="shared" si="8"/>
        <v>91875000</v>
      </c>
      <c r="DN28" s="68">
        <f t="shared" si="9"/>
        <v>275625000</v>
      </c>
      <c r="DO28" s="35">
        <v>4</v>
      </c>
      <c r="DP28" s="33">
        <f t="shared" si="10"/>
        <v>78.324808184143237</v>
      </c>
      <c r="DQ28" s="35">
        <v>12</v>
      </c>
      <c r="DR28" s="69">
        <f t="shared" si="17"/>
        <v>24480000</v>
      </c>
      <c r="DS28" s="33">
        <v>1225.0000000000002</v>
      </c>
      <c r="DT28" s="68">
        <f t="shared" si="18"/>
        <v>36750000</v>
      </c>
      <c r="DU28" s="36">
        <f>1.9+1225</f>
        <v>1226.9000000000001</v>
      </c>
      <c r="DV28" s="68">
        <f t="shared" si="19"/>
        <v>12250000</v>
      </c>
      <c r="DW28" s="69">
        <f t="shared" si="11"/>
        <v>440980000</v>
      </c>
      <c r="DX28" s="33">
        <f t="shared" si="12"/>
        <v>0</v>
      </c>
    </row>
    <row r="29" spans="1:128" s="38" customFormat="1" ht="55.5" customHeight="1">
      <c r="A29" s="26">
        <v>23</v>
      </c>
      <c r="B29" s="27" t="s">
        <v>182</v>
      </c>
      <c r="C29" s="89" t="s">
        <v>183</v>
      </c>
      <c r="D29" s="88" t="s">
        <v>185</v>
      </c>
      <c r="E29" s="87" t="s">
        <v>109</v>
      </c>
      <c r="F29" s="28" t="s">
        <v>104</v>
      </c>
      <c r="G29" s="26">
        <v>625</v>
      </c>
      <c r="H29" s="26">
        <v>49</v>
      </c>
      <c r="I29" s="29">
        <f>0.8+1334</f>
        <v>1334.8</v>
      </c>
      <c r="J29" s="88" t="s">
        <v>184</v>
      </c>
      <c r="K29" s="87">
        <v>3</v>
      </c>
      <c r="L29" s="87">
        <v>3</v>
      </c>
      <c r="M29" s="29">
        <f t="shared" si="0"/>
        <v>1698</v>
      </c>
      <c r="N29" s="29"/>
      <c r="O29" s="29"/>
      <c r="P29" s="29">
        <f t="shared" ref="P29:P50" si="23">Q29*4</f>
        <v>0</v>
      </c>
      <c r="Q29" s="29"/>
      <c r="R29" s="29">
        <f t="shared" si="21"/>
        <v>0</v>
      </c>
      <c r="S29" s="29"/>
      <c r="T29" s="29">
        <f t="shared" si="2"/>
        <v>224</v>
      </c>
      <c r="U29" s="29">
        <v>17</v>
      </c>
      <c r="V29" s="29">
        <v>207</v>
      </c>
      <c r="W29" s="29">
        <f t="shared" si="3"/>
        <v>1474</v>
      </c>
      <c r="X29" s="29">
        <f t="shared" si="13"/>
        <v>1681</v>
      </c>
      <c r="Y29" s="29">
        <f t="shared" si="14"/>
        <v>1681</v>
      </c>
      <c r="Z29" s="29">
        <f t="shared" si="4"/>
        <v>1681</v>
      </c>
      <c r="AA29" s="29"/>
      <c r="AB29" s="29"/>
      <c r="AC29" s="29"/>
      <c r="AD29" s="29"/>
      <c r="AE29" s="29"/>
      <c r="AF29" s="29"/>
      <c r="AG29" s="29"/>
      <c r="AH29" s="29"/>
      <c r="AI29" s="29"/>
      <c r="AJ29" s="29"/>
      <c r="AK29" s="29"/>
      <c r="AL29" s="29"/>
      <c r="AM29" s="29"/>
      <c r="AN29" s="29">
        <v>1334</v>
      </c>
      <c r="AO29" s="29"/>
      <c r="AP29" s="29"/>
      <c r="AQ29" s="29"/>
      <c r="AR29" s="29"/>
      <c r="AS29" s="29"/>
      <c r="AT29" s="29"/>
      <c r="AU29" s="30"/>
      <c r="AV29" s="29"/>
      <c r="AW29" s="29"/>
      <c r="AX29" s="29"/>
      <c r="AY29" s="29"/>
      <c r="AZ29" s="29"/>
      <c r="BA29" s="29"/>
      <c r="BB29" s="29"/>
      <c r="BC29" s="29">
        <v>140</v>
      </c>
      <c r="BD29" s="29"/>
      <c r="BE29" s="29"/>
      <c r="BF29" s="29"/>
      <c r="BG29" s="29">
        <v>207</v>
      </c>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f t="shared" si="5"/>
        <v>0</v>
      </c>
      <c r="CW29" s="29">
        <f t="shared" si="6"/>
        <v>0</v>
      </c>
      <c r="CX29" s="31">
        <f t="shared" si="7"/>
        <v>1334.8</v>
      </c>
      <c r="CY29" s="31">
        <v>0.8</v>
      </c>
      <c r="CZ29" s="31">
        <f t="shared" si="15"/>
        <v>0</v>
      </c>
      <c r="DA29" s="88" t="s">
        <v>403</v>
      </c>
      <c r="DB29" s="29">
        <v>1334</v>
      </c>
      <c r="DC29" s="35"/>
      <c r="DD29" s="35"/>
      <c r="DE29" s="35"/>
      <c r="DF29" s="35"/>
      <c r="DG29" s="33"/>
      <c r="DH29" s="45" t="s">
        <v>185</v>
      </c>
      <c r="DI29" s="6" t="s">
        <v>508</v>
      </c>
      <c r="DJ29" s="7" t="s">
        <v>511</v>
      </c>
      <c r="DK29" s="33">
        <v>1334</v>
      </c>
      <c r="DL29" s="71">
        <f t="shared" si="16"/>
        <v>3.7055555555555557</v>
      </c>
      <c r="DM29" s="68">
        <f t="shared" si="8"/>
        <v>100050000</v>
      </c>
      <c r="DN29" s="68">
        <f t="shared" si="9"/>
        <v>300150000</v>
      </c>
      <c r="DO29" s="35">
        <v>2</v>
      </c>
      <c r="DP29" s="33">
        <f t="shared" si="10"/>
        <v>90.502035278154679</v>
      </c>
      <c r="DQ29" s="35">
        <v>12</v>
      </c>
      <c r="DR29" s="69">
        <f t="shared" si="17"/>
        <v>12240000</v>
      </c>
      <c r="DS29" s="33">
        <v>1334</v>
      </c>
      <c r="DT29" s="68">
        <f t="shared" si="18"/>
        <v>40020000</v>
      </c>
      <c r="DU29" s="36">
        <f>0.8+1334</f>
        <v>1334.8</v>
      </c>
      <c r="DV29" s="68">
        <f t="shared" si="19"/>
        <v>13340000</v>
      </c>
      <c r="DW29" s="69">
        <f t="shared" si="11"/>
        <v>465800000</v>
      </c>
      <c r="DX29" s="33">
        <f t="shared" si="12"/>
        <v>0</v>
      </c>
    </row>
    <row r="30" spans="1:128" s="38" customFormat="1" ht="37.5" customHeight="1">
      <c r="A30" s="26">
        <v>24</v>
      </c>
      <c r="B30" s="27" t="s">
        <v>186</v>
      </c>
      <c r="C30" s="89" t="s">
        <v>187</v>
      </c>
      <c r="D30" s="88" t="s">
        <v>419</v>
      </c>
      <c r="E30" s="87" t="s">
        <v>109</v>
      </c>
      <c r="F30" s="28" t="s">
        <v>104</v>
      </c>
      <c r="G30" s="26">
        <v>626</v>
      </c>
      <c r="H30" s="26">
        <v>49</v>
      </c>
      <c r="I30" s="29">
        <f>1.2+1417</f>
        <v>1418.2</v>
      </c>
      <c r="J30" s="88" t="s">
        <v>188</v>
      </c>
      <c r="K30" s="87">
        <v>4</v>
      </c>
      <c r="L30" s="87">
        <v>4</v>
      </c>
      <c r="M30" s="29">
        <f t="shared" si="0"/>
        <v>2264</v>
      </c>
      <c r="N30" s="29"/>
      <c r="O30" s="29"/>
      <c r="P30" s="29">
        <f t="shared" si="23"/>
        <v>0</v>
      </c>
      <c r="Q30" s="29"/>
      <c r="R30" s="29">
        <f t="shared" si="21"/>
        <v>0</v>
      </c>
      <c r="S30" s="29"/>
      <c r="T30" s="29">
        <f t="shared" si="2"/>
        <v>10</v>
      </c>
      <c r="U30" s="29">
        <v>10</v>
      </c>
      <c r="V30" s="29"/>
      <c r="W30" s="29">
        <f t="shared" si="3"/>
        <v>2254</v>
      </c>
      <c r="X30" s="29">
        <f t="shared" si="13"/>
        <v>2254</v>
      </c>
      <c r="Y30" s="29">
        <f t="shared" si="14"/>
        <v>2254</v>
      </c>
      <c r="Z30" s="29">
        <f t="shared" si="4"/>
        <v>2254</v>
      </c>
      <c r="AA30" s="29"/>
      <c r="AB30" s="29"/>
      <c r="AC30" s="29"/>
      <c r="AD30" s="29"/>
      <c r="AE30" s="29"/>
      <c r="AF30" s="29"/>
      <c r="AG30" s="29"/>
      <c r="AH30" s="29"/>
      <c r="AI30" s="29"/>
      <c r="AJ30" s="29"/>
      <c r="AK30" s="29"/>
      <c r="AL30" s="29"/>
      <c r="AM30" s="29"/>
      <c r="AN30" s="29">
        <v>1417</v>
      </c>
      <c r="AO30" s="29"/>
      <c r="AP30" s="29"/>
      <c r="AQ30" s="29"/>
      <c r="AR30" s="29"/>
      <c r="AS30" s="29"/>
      <c r="AT30" s="29"/>
      <c r="AU30" s="30"/>
      <c r="AV30" s="29"/>
      <c r="AW30" s="29"/>
      <c r="AX30" s="29"/>
      <c r="AY30" s="29"/>
      <c r="AZ30" s="29"/>
      <c r="BA30" s="29"/>
      <c r="BB30" s="29"/>
      <c r="BC30" s="29">
        <v>229</v>
      </c>
      <c r="BD30" s="29">
        <v>608</v>
      </c>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f t="shared" si="5"/>
        <v>0</v>
      </c>
      <c r="CW30" s="29">
        <f t="shared" si="6"/>
        <v>0</v>
      </c>
      <c r="CX30" s="31">
        <f t="shared" si="7"/>
        <v>1418.1999999999998</v>
      </c>
      <c r="CY30" s="31">
        <v>1.2</v>
      </c>
      <c r="CZ30" s="31">
        <f t="shared" si="15"/>
        <v>0</v>
      </c>
      <c r="DA30" s="88" t="s">
        <v>403</v>
      </c>
      <c r="DB30" s="29">
        <v>1417</v>
      </c>
      <c r="DC30" s="35"/>
      <c r="DD30" s="35"/>
      <c r="DE30" s="35"/>
      <c r="DF30" s="35"/>
      <c r="DG30" s="33"/>
      <c r="DH30" s="45" t="s">
        <v>498</v>
      </c>
      <c r="DI30" s="6" t="s">
        <v>508</v>
      </c>
      <c r="DJ30" s="7" t="s">
        <v>511</v>
      </c>
      <c r="DK30" s="33">
        <v>1416.9999999999998</v>
      </c>
      <c r="DL30" s="71">
        <f t="shared" si="16"/>
        <v>3.9361111111111104</v>
      </c>
      <c r="DM30" s="68">
        <f t="shared" si="8"/>
        <v>106275000</v>
      </c>
      <c r="DN30" s="68">
        <f t="shared" si="9"/>
        <v>318825000</v>
      </c>
      <c r="DO30" s="35">
        <v>3</v>
      </c>
      <c r="DP30" s="33">
        <f t="shared" si="10"/>
        <v>62.866015971606025</v>
      </c>
      <c r="DQ30" s="35">
        <v>6</v>
      </c>
      <c r="DR30" s="69">
        <f t="shared" si="17"/>
        <v>9180000</v>
      </c>
      <c r="DS30" s="33">
        <v>1416.9999999999998</v>
      </c>
      <c r="DT30" s="68">
        <f t="shared" si="18"/>
        <v>42510000</v>
      </c>
      <c r="DU30" s="36">
        <f>1.2+1417</f>
        <v>1418.2</v>
      </c>
      <c r="DV30" s="68">
        <f t="shared" si="19"/>
        <v>14170000</v>
      </c>
      <c r="DW30" s="69">
        <f t="shared" si="11"/>
        <v>490960000</v>
      </c>
      <c r="DX30" s="33">
        <f t="shared" si="12"/>
        <v>0</v>
      </c>
    </row>
    <row r="31" spans="1:128" s="38" customFormat="1" ht="36" customHeight="1">
      <c r="A31" s="26">
        <v>25</v>
      </c>
      <c r="B31" s="27" t="s">
        <v>189</v>
      </c>
      <c r="C31" s="89" t="s">
        <v>190</v>
      </c>
      <c r="D31" s="89" t="s">
        <v>452</v>
      </c>
      <c r="E31" s="87" t="s">
        <v>109</v>
      </c>
      <c r="F31" s="28" t="s">
        <v>104</v>
      </c>
      <c r="G31" s="26">
        <v>627</v>
      </c>
      <c r="H31" s="26">
        <v>49</v>
      </c>
      <c r="I31" s="29">
        <f>2.1+1368</f>
        <v>1370.1</v>
      </c>
      <c r="J31" s="88" t="s">
        <v>191</v>
      </c>
      <c r="K31" s="87">
        <v>3</v>
      </c>
      <c r="L31" s="87">
        <v>2</v>
      </c>
      <c r="M31" s="29">
        <f t="shared" si="0"/>
        <v>1618</v>
      </c>
      <c r="N31" s="29"/>
      <c r="O31" s="29"/>
      <c r="P31" s="29">
        <f t="shared" si="23"/>
        <v>0</v>
      </c>
      <c r="Q31" s="29"/>
      <c r="R31" s="29">
        <f t="shared" si="21"/>
        <v>0</v>
      </c>
      <c r="S31" s="29"/>
      <c r="T31" s="29">
        <f t="shared" si="2"/>
        <v>17</v>
      </c>
      <c r="U31" s="29">
        <v>17</v>
      </c>
      <c r="V31" s="29"/>
      <c r="W31" s="29">
        <f t="shared" si="3"/>
        <v>1601</v>
      </c>
      <c r="X31" s="29">
        <f t="shared" si="13"/>
        <v>1601</v>
      </c>
      <c r="Y31" s="29">
        <f t="shared" si="14"/>
        <v>1601</v>
      </c>
      <c r="Z31" s="29">
        <f t="shared" si="4"/>
        <v>1601</v>
      </c>
      <c r="AA31" s="29"/>
      <c r="AB31" s="29"/>
      <c r="AC31" s="29"/>
      <c r="AD31" s="29"/>
      <c r="AE31" s="29"/>
      <c r="AF31" s="29"/>
      <c r="AG31" s="29"/>
      <c r="AH31" s="29"/>
      <c r="AI31" s="29"/>
      <c r="AJ31" s="29"/>
      <c r="AK31" s="29"/>
      <c r="AL31" s="29"/>
      <c r="AM31" s="29"/>
      <c r="AN31" s="29">
        <v>1368</v>
      </c>
      <c r="AO31" s="29"/>
      <c r="AP31" s="29"/>
      <c r="AQ31" s="29"/>
      <c r="AR31" s="29"/>
      <c r="AS31" s="29"/>
      <c r="AT31" s="29"/>
      <c r="AU31" s="30"/>
      <c r="AV31" s="29"/>
      <c r="AW31" s="29"/>
      <c r="AX31" s="29"/>
      <c r="AY31" s="29"/>
      <c r="AZ31" s="29"/>
      <c r="BA31" s="29"/>
      <c r="BB31" s="29"/>
      <c r="BC31" s="29"/>
      <c r="BD31" s="29">
        <v>233</v>
      </c>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f t="shared" si="5"/>
        <v>0</v>
      </c>
      <c r="CW31" s="29">
        <f t="shared" si="6"/>
        <v>0</v>
      </c>
      <c r="CX31" s="31">
        <f t="shared" si="7"/>
        <v>1370.1</v>
      </c>
      <c r="CY31" s="31">
        <v>2.1</v>
      </c>
      <c r="CZ31" s="31">
        <f t="shared" si="15"/>
        <v>0</v>
      </c>
      <c r="DA31" s="88" t="s">
        <v>403</v>
      </c>
      <c r="DB31" s="29">
        <v>1368</v>
      </c>
      <c r="DC31" s="35"/>
      <c r="DD31" s="35"/>
      <c r="DE31" s="35"/>
      <c r="DF31" s="35"/>
      <c r="DG31" s="33"/>
      <c r="DH31" s="39" t="s">
        <v>452</v>
      </c>
      <c r="DI31" s="6" t="s">
        <v>508</v>
      </c>
      <c r="DJ31" s="7" t="s">
        <v>511</v>
      </c>
      <c r="DK31" s="33">
        <v>1368</v>
      </c>
      <c r="DL31" s="71">
        <f t="shared" si="16"/>
        <v>3.8</v>
      </c>
      <c r="DM31" s="68">
        <f t="shared" si="8"/>
        <v>102600000</v>
      </c>
      <c r="DN31" s="68">
        <f t="shared" si="9"/>
        <v>307800000</v>
      </c>
      <c r="DO31" s="35">
        <v>3</v>
      </c>
      <c r="DP31" s="33">
        <f t="shared" si="10"/>
        <v>85.446595877576513</v>
      </c>
      <c r="DQ31" s="35">
        <v>12</v>
      </c>
      <c r="DR31" s="69">
        <f t="shared" si="17"/>
        <v>18360000</v>
      </c>
      <c r="DS31" s="33">
        <v>1368</v>
      </c>
      <c r="DT31" s="68">
        <f t="shared" si="18"/>
        <v>41040000</v>
      </c>
      <c r="DU31" s="36">
        <f>2.1+1368</f>
        <v>1370.1</v>
      </c>
      <c r="DV31" s="68">
        <f t="shared" si="19"/>
        <v>13680000</v>
      </c>
      <c r="DW31" s="69">
        <f t="shared" si="11"/>
        <v>483480000</v>
      </c>
      <c r="DX31" s="33">
        <f t="shared" si="12"/>
        <v>0</v>
      </c>
    </row>
    <row r="32" spans="1:128" s="38" customFormat="1" ht="51" customHeight="1">
      <c r="A32" s="26">
        <v>26</v>
      </c>
      <c r="B32" s="27" t="s">
        <v>192</v>
      </c>
      <c r="C32" s="89" t="s">
        <v>193</v>
      </c>
      <c r="D32" s="88" t="s">
        <v>480</v>
      </c>
      <c r="E32" s="87" t="s">
        <v>194</v>
      </c>
      <c r="F32" s="28" t="s">
        <v>104</v>
      </c>
      <c r="G32" s="26">
        <v>628</v>
      </c>
      <c r="H32" s="26">
        <v>49</v>
      </c>
      <c r="I32" s="29">
        <f>4.2+275</f>
        <v>279.2</v>
      </c>
      <c r="J32" s="88" t="s">
        <v>195</v>
      </c>
      <c r="K32" s="87">
        <v>1</v>
      </c>
      <c r="L32" s="87">
        <v>3</v>
      </c>
      <c r="M32" s="29">
        <f t="shared" si="0"/>
        <v>726</v>
      </c>
      <c r="N32" s="29"/>
      <c r="O32" s="29"/>
      <c r="P32" s="29">
        <f t="shared" si="23"/>
        <v>0</v>
      </c>
      <c r="Q32" s="29"/>
      <c r="R32" s="29">
        <f t="shared" si="21"/>
        <v>50</v>
      </c>
      <c r="S32" s="29">
        <v>25</v>
      </c>
      <c r="T32" s="29">
        <f t="shared" si="2"/>
        <v>3</v>
      </c>
      <c r="U32" s="29">
        <v>3</v>
      </c>
      <c r="V32" s="29"/>
      <c r="W32" s="29">
        <f t="shared" si="3"/>
        <v>748</v>
      </c>
      <c r="X32" s="29">
        <f t="shared" si="13"/>
        <v>698</v>
      </c>
      <c r="Y32" s="29">
        <f t="shared" si="14"/>
        <v>698</v>
      </c>
      <c r="Z32" s="29">
        <f t="shared" si="4"/>
        <v>748</v>
      </c>
      <c r="AA32" s="29"/>
      <c r="AB32" s="29"/>
      <c r="AC32" s="29"/>
      <c r="AD32" s="29"/>
      <c r="AE32" s="29"/>
      <c r="AF32" s="29"/>
      <c r="AG32" s="29"/>
      <c r="AH32" s="29"/>
      <c r="AI32" s="29"/>
      <c r="AJ32" s="29"/>
      <c r="AK32" s="29"/>
      <c r="AL32" s="29"/>
      <c r="AM32" s="29"/>
      <c r="AN32" s="29">
        <v>275</v>
      </c>
      <c r="AO32" s="29"/>
      <c r="AP32" s="29"/>
      <c r="AQ32" s="29"/>
      <c r="AR32" s="29"/>
      <c r="AS32" s="29"/>
      <c r="AT32" s="29"/>
      <c r="AU32" s="30"/>
      <c r="AV32" s="29"/>
      <c r="AW32" s="29"/>
      <c r="AX32" s="29"/>
      <c r="AY32" s="29"/>
      <c r="AZ32" s="29"/>
      <c r="BA32" s="29"/>
      <c r="BB32" s="29"/>
      <c r="BC32" s="29"/>
      <c r="BD32" s="29">
        <f>8+415</f>
        <v>423</v>
      </c>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f t="shared" si="5"/>
        <v>0</v>
      </c>
      <c r="CW32" s="29">
        <f t="shared" si="6"/>
        <v>50</v>
      </c>
      <c r="CX32" s="31">
        <f t="shared" si="7"/>
        <v>279.2</v>
      </c>
      <c r="CY32" s="31">
        <v>4.2</v>
      </c>
      <c r="CZ32" s="31">
        <f t="shared" si="15"/>
        <v>0</v>
      </c>
      <c r="DA32" s="88" t="s">
        <v>403</v>
      </c>
      <c r="DB32" s="29">
        <v>275</v>
      </c>
      <c r="DC32" s="35"/>
      <c r="DD32" s="35"/>
      <c r="DE32" s="35"/>
      <c r="DF32" s="35"/>
      <c r="DG32" s="33"/>
      <c r="DH32" s="45" t="s">
        <v>480</v>
      </c>
      <c r="DI32" s="6" t="s">
        <v>508</v>
      </c>
      <c r="DJ32" s="7" t="s">
        <v>511</v>
      </c>
      <c r="DK32" s="33">
        <v>275</v>
      </c>
      <c r="DL32" s="71">
        <f t="shared" si="16"/>
        <v>0.76388888888888884</v>
      </c>
      <c r="DM32" s="68">
        <f t="shared" si="8"/>
        <v>20625000</v>
      </c>
      <c r="DN32" s="68">
        <f t="shared" si="9"/>
        <v>61875000</v>
      </c>
      <c r="DO32" s="35">
        <v>2</v>
      </c>
      <c r="DP32" s="33">
        <f t="shared" si="10"/>
        <v>36.764705882352942</v>
      </c>
      <c r="DQ32" s="35">
        <v>6</v>
      </c>
      <c r="DR32" s="69">
        <f t="shared" si="17"/>
        <v>6120000</v>
      </c>
      <c r="DS32" s="33">
        <v>275</v>
      </c>
      <c r="DT32" s="68">
        <f t="shared" si="18"/>
        <v>8250000</v>
      </c>
      <c r="DU32" s="36">
        <f>4.2+275</f>
        <v>279.2</v>
      </c>
      <c r="DV32" s="68">
        <f t="shared" si="19"/>
        <v>2750000</v>
      </c>
      <c r="DW32" s="69">
        <f t="shared" si="11"/>
        <v>99620000</v>
      </c>
      <c r="DX32" s="33">
        <f t="shared" si="12"/>
        <v>0</v>
      </c>
    </row>
    <row r="33" spans="1:128" s="38" customFormat="1" ht="31.5" customHeight="1">
      <c r="A33" s="26">
        <v>27</v>
      </c>
      <c r="B33" s="27" t="s">
        <v>196</v>
      </c>
      <c r="C33" s="89" t="s">
        <v>197</v>
      </c>
      <c r="D33" s="88" t="s">
        <v>420</v>
      </c>
      <c r="E33" s="87" t="s">
        <v>109</v>
      </c>
      <c r="F33" s="28" t="s">
        <v>104</v>
      </c>
      <c r="G33" s="26">
        <v>629</v>
      </c>
      <c r="H33" s="26">
        <v>49</v>
      </c>
      <c r="I33" s="29">
        <f>1.3+390</f>
        <v>391.3</v>
      </c>
      <c r="J33" s="88" t="s">
        <v>198</v>
      </c>
      <c r="K33" s="87">
        <v>2</v>
      </c>
      <c r="L33" s="87">
        <v>2</v>
      </c>
      <c r="M33" s="29">
        <f t="shared" si="0"/>
        <v>1132</v>
      </c>
      <c r="N33" s="29"/>
      <c r="O33" s="29"/>
      <c r="P33" s="29">
        <f t="shared" si="23"/>
        <v>0</v>
      </c>
      <c r="Q33" s="29"/>
      <c r="R33" s="29">
        <f t="shared" si="21"/>
        <v>0</v>
      </c>
      <c r="S33" s="29"/>
      <c r="T33" s="29">
        <f t="shared" si="2"/>
        <v>204</v>
      </c>
      <c r="U33" s="29">
        <v>5</v>
      </c>
      <c r="V33" s="29">
        <v>199</v>
      </c>
      <c r="W33" s="29">
        <f t="shared" si="3"/>
        <v>928</v>
      </c>
      <c r="X33" s="29">
        <f t="shared" si="13"/>
        <v>1127</v>
      </c>
      <c r="Y33" s="29">
        <f t="shared" si="14"/>
        <v>1127</v>
      </c>
      <c r="Z33" s="29">
        <f t="shared" si="4"/>
        <v>1127</v>
      </c>
      <c r="AA33" s="29"/>
      <c r="AB33" s="29"/>
      <c r="AC33" s="29"/>
      <c r="AD33" s="29"/>
      <c r="AE33" s="29"/>
      <c r="AF33" s="29"/>
      <c r="AG33" s="29"/>
      <c r="AH33" s="29"/>
      <c r="AI33" s="29"/>
      <c r="AJ33" s="29"/>
      <c r="AK33" s="29"/>
      <c r="AL33" s="29"/>
      <c r="AM33" s="29"/>
      <c r="AN33" s="29">
        <v>390</v>
      </c>
      <c r="AO33" s="29"/>
      <c r="AP33" s="29"/>
      <c r="AQ33" s="29"/>
      <c r="AR33" s="29"/>
      <c r="AS33" s="29"/>
      <c r="AT33" s="29"/>
      <c r="AU33" s="30"/>
      <c r="AV33" s="29"/>
      <c r="AW33" s="29"/>
      <c r="AX33" s="29"/>
      <c r="AY33" s="29"/>
      <c r="AZ33" s="29"/>
      <c r="BA33" s="29"/>
      <c r="BB33" s="29">
        <v>407</v>
      </c>
      <c r="BC33" s="29">
        <v>131</v>
      </c>
      <c r="BD33" s="29"/>
      <c r="BE33" s="29"/>
      <c r="BF33" s="29">
        <v>199</v>
      </c>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f t="shared" si="5"/>
        <v>0</v>
      </c>
      <c r="CW33" s="29">
        <f t="shared" si="6"/>
        <v>0</v>
      </c>
      <c r="CX33" s="31">
        <f t="shared" si="7"/>
        <v>391.3</v>
      </c>
      <c r="CY33" s="31">
        <v>1.3</v>
      </c>
      <c r="CZ33" s="31">
        <f t="shared" si="15"/>
        <v>0</v>
      </c>
      <c r="DA33" s="88" t="s">
        <v>403</v>
      </c>
      <c r="DB33" s="29">
        <v>390</v>
      </c>
      <c r="DC33" s="35"/>
      <c r="DD33" s="35"/>
      <c r="DE33" s="35"/>
      <c r="DF33" s="35"/>
      <c r="DG33" s="33"/>
      <c r="DH33" s="45" t="s">
        <v>499</v>
      </c>
      <c r="DI33" s="6" t="s">
        <v>508</v>
      </c>
      <c r="DJ33" s="7" t="s">
        <v>511</v>
      </c>
      <c r="DK33" s="33">
        <v>390</v>
      </c>
      <c r="DL33" s="71">
        <f t="shared" si="16"/>
        <v>1.0833333333333333</v>
      </c>
      <c r="DM33" s="68">
        <f t="shared" si="8"/>
        <v>29250000</v>
      </c>
      <c r="DN33" s="68">
        <f t="shared" si="9"/>
        <v>87750000</v>
      </c>
      <c r="DO33" s="35">
        <v>0</v>
      </c>
      <c r="DP33" s="33">
        <f t="shared" si="10"/>
        <v>42.025862068965516</v>
      </c>
      <c r="DQ33" s="35">
        <v>6</v>
      </c>
      <c r="DR33" s="69">
        <f t="shared" si="17"/>
        <v>0</v>
      </c>
      <c r="DS33" s="33">
        <v>390</v>
      </c>
      <c r="DT33" s="68">
        <f t="shared" si="18"/>
        <v>11700000</v>
      </c>
      <c r="DU33" s="36">
        <f>1.3+390</f>
        <v>391.3</v>
      </c>
      <c r="DV33" s="68">
        <f t="shared" si="19"/>
        <v>3900000</v>
      </c>
      <c r="DW33" s="69">
        <f t="shared" si="11"/>
        <v>132600000</v>
      </c>
      <c r="DX33" s="33">
        <f t="shared" si="12"/>
        <v>0</v>
      </c>
    </row>
    <row r="34" spans="1:128" s="38" customFormat="1" ht="36.6" customHeight="1">
      <c r="A34" s="26">
        <v>28</v>
      </c>
      <c r="B34" s="27" t="s">
        <v>199</v>
      </c>
      <c r="C34" s="89" t="s">
        <v>200</v>
      </c>
      <c r="D34" s="55" t="s">
        <v>453</v>
      </c>
      <c r="E34" s="87" t="s">
        <v>201</v>
      </c>
      <c r="F34" s="28" t="s">
        <v>104</v>
      </c>
      <c r="G34" s="26">
        <v>630</v>
      </c>
      <c r="H34" s="26">
        <v>49</v>
      </c>
      <c r="I34" s="29">
        <f>5+784</f>
        <v>789</v>
      </c>
      <c r="J34" s="88" t="s">
        <v>202</v>
      </c>
      <c r="K34" s="87">
        <v>2</v>
      </c>
      <c r="L34" s="87">
        <v>0</v>
      </c>
      <c r="M34" s="29">
        <f t="shared" si="0"/>
        <v>972</v>
      </c>
      <c r="N34" s="29"/>
      <c r="O34" s="29"/>
      <c r="P34" s="29">
        <f t="shared" si="23"/>
        <v>0</v>
      </c>
      <c r="Q34" s="29"/>
      <c r="R34" s="29">
        <f t="shared" si="21"/>
        <v>0</v>
      </c>
      <c r="S34" s="29"/>
      <c r="T34" s="29">
        <f t="shared" si="2"/>
        <v>10</v>
      </c>
      <c r="U34" s="29">
        <v>10</v>
      </c>
      <c r="V34" s="29"/>
      <c r="W34" s="29">
        <f t="shared" si="3"/>
        <v>962</v>
      </c>
      <c r="X34" s="29">
        <f t="shared" si="13"/>
        <v>962</v>
      </c>
      <c r="Y34" s="29">
        <f t="shared" si="14"/>
        <v>962</v>
      </c>
      <c r="Z34" s="29">
        <f t="shared" si="4"/>
        <v>962</v>
      </c>
      <c r="AA34" s="29"/>
      <c r="AB34" s="29"/>
      <c r="AC34" s="29"/>
      <c r="AD34" s="29"/>
      <c r="AE34" s="29"/>
      <c r="AF34" s="29"/>
      <c r="AG34" s="29"/>
      <c r="AH34" s="29"/>
      <c r="AI34" s="29"/>
      <c r="AJ34" s="29"/>
      <c r="AK34" s="29"/>
      <c r="AL34" s="29"/>
      <c r="AM34" s="29"/>
      <c r="AN34" s="29">
        <v>784</v>
      </c>
      <c r="AO34" s="29"/>
      <c r="AP34" s="29"/>
      <c r="AQ34" s="29"/>
      <c r="AR34" s="29"/>
      <c r="AS34" s="29"/>
      <c r="AT34" s="29"/>
      <c r="AU34" s="30"/>
      <c r="AV34" s="29"/>
      <c r="AW34" s="29"/>
      <c r="AX34" s="29"/>
      <c r="AY34" s="29"/>
      <c r="AZ34" s="29"/>
      <c r="BA34" s="29"/>
      <c r="BB34" s="29"/>
      <c r="BC34" s="29">
        <v>178</v>
      </c>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f t="shared" si="5"/>
        <v>0</v>
      </c>
      <c r="CW34" s="29">
        <f t="shared" si="6"/>
        <v>0</v>
      </c>
      <c r="CX34" s="31">
        <f t="shared" si="7"/>
        <v>789</v>
      </c>
      <c r="CY34" s="31">
        <v>5</v>
      </c>
      <c r="CZ34" s="31">
        <f t="shared" si="15"/>
        <v>0</v>
      </c>
      <c r="DA34" s="88" t="s">
        <v>403</v>
      </c>
      <c r="DB34" s="29">
        <v>784</v>
      </c>
      <c r="DC34" s="35"/>
      <c r="DD34" s="35"/>
      <c r="DE34" s="35"/>
      <c r="DF34" s="35"/>
      <c r="DG34" s="33"/>
      <c r="DH34" s="54" t="s">
        <v>453</v>
      </c>
      <c r="DI34" s="6" t="s">
        <v>508</v>
      </c>
      <c r="DJ34" s="7" t="s">
        <v>511</v>
      </c>
      <c r="DK34" s="33">
        <v>784</v>
      </c>
      <c r="DL34" s="71">
        <f t="shared" si="16"/>
        <v>2.1777777777777776</v>
      </c>
      <c r="DM34" s="68">
        <f t="shared" si="8"/>
        <v>58800000</v>
      </c>
      <c r="DN34" s="68">
        <f t="shared" si="9"/>
        <v>176400000</v>
      </c>
      <c r="DO34" s="35">
        <v>3</v>
      </c>
      <c r="DP34" s="33">
        <f t="shared" si="10"/>
        <v>81.4968814968815</v>
      </c>
      <c r="DQ34" s="35">
        <v>12</v>
      </c>
      <c r="DR34" s="69">
        <f t="shared" si="17"/>
        <v>18360000</v>
      </c>
      <c r="DS34" s="33">
        <v>784</v>
      </c>
      <c r="DT34" s="68">
        <f t="shared" si="18"/>
        <v>23520000</v>
      </c>
      <c r="DU34" s="36">
        <f>5+784</f>
        <v>789</v>
      </c>
      <c r="DV34" s="68">
        <f t="shared" si="19"/>
        <v>7840000</v>
      </c>
      <c r="DW34" s="69">
        <f t="shared" si="11"/>
        <v>284920000</v>
      </c>
      <c r="DX34" s="33">
        <f t="shared" si="12"/>
        <v>0</v>
      </c>
    </row>
    <row r="35" spans="1:128" s="38" customFormat="1" ht="32.25" customHeight="1">
      <c r="A35" s="26">
        <v>29</v>
      </c>
      <c r="B35" s="27" t="s">
        <v>203</v>
      </c>
      <c r="C35" s="89" t="s">
        <v>204</v>
      </c>
      <c r="D35" s="89" t="s">
        <v>454</v>
      </c>
      <c r="E35" s="87" t="s">
        <v>109</v>
      </c>
      <c r="F35" s="28" t="s">
        <v>104</v>
      </c>
      <c r="G35" s="26">
        <v>631</v>
      </c>
      <c r="H35" s="26">
        <v>49</v>
      </c>
      <c r="I35" s="29">
        <f>2.2+1409</f>
        <v>1411.2</v>
      </c>
      <c r="J35" s="88" t="s">
        <v>205</v>
      </c>
      <c r="K35" s="87">
        <v>3</v>
      </c>
      <c r="L35" s="87">
        <v>3</v>
      </c>
      <c r="M35" s="29">
        <f t="shared" si="0"/>
        <v>1698</v>
      </c>
      <c r="N35" s="29"/>
      <c r="O35" s="29"/>
      <c r="P35" s="29">
        <f t="shared" si="23"/>
        <v>100</v>
      </c>
      <c r="Q35" s="29">
        <v>25</v>
      </c>
      <c r="R35" s="29">
        <f t="shared" si="21"/>
        <v>0</v>
      </c>
      <c r="S35" s="29"/>
      <c r="T35" s="29">
        <f t="shared" si="2"/>
        <v>81</v>
      </c>
      <c r="U35" s="29">
        <v>18</v>
      </c>
      <c r="V35" s="29">
        <v>63</v>
      </c>
      <c r="W35" s="29">
        <f t="shared" si="3"/>
        <v>1692</v>
      </c>
      <c r="X35" s="29">
        <f t="shared" si="13"/>
        <v>1655</v>
      </c>
      <c r="Y35" s="29">
        <f t="shared" si="14"/>
        <v>1655</v>
      </c>
      <c r="Z35" s="29">
        <f t="shared" si="4"/>
        <v>1755</v>
      </c>
      <c r="AA35" s="29"/>
      <c r="AB35" s="29"/>
      <c r="AC35" s="29"/>
      <c r="AD35" s="29"/>
      <c r="AE35" s="29"/>
      <c r="AF35" s="29"/>
      <c r="AG35" s="29"/>
      <c r="AH35" s="29"/>
      <c r="AI35" s="29"/>
      <c r="AJ35" s="29"/>
      <c r="AK35" s="29"/>
      <c r="AL35" s="29"/>
      <c r="AM35" s="29"/>
      <c r="AN35" s="29">
        <v>1409</v>
      </c>
      <c r="AO35" s="29"/>
      <c r="AP35" s="29"/>
      <c r="AQ35" s="29"/>
      <c r="AR35" s="29"/>
      <c r="AS35" s="29"/>
      <c r="AT35" s="29"/>
      <c r="AU35" s="30"/>
      <c r="AV35" s="29"/>
      <c r="AW35" s="29"/>
      <c r="AX35" s="29"/>
      <c r="AY35" s="29"/>
      <c r="AZ35" s="29"/>
      <c r="BA35" s="29"/>
      <c r="BB35" s="29"/>
      <c r="BC35" s="29">
        <v>183</v>
      </c>
      <c r="BD35" s="29"/>
      <c r="BE35" s="29"/>
      <c r="BF35" s="29"/>
      <c r="BG35" s="29">
        <v>63</v>
      </c>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f t="shared" si="5"/>
        <v>100</v>
      </c>
      <c r="CW35" s="29">
        <f t="shared" si="6"/>
        <v>0</v>
      </c>
      <c r="CX35" s="31">
        <f t="shared" si="7"/>
        <v>1411.2</v>
      </c>
      <c r="CY35" s="31">
        <v>2.2000000000000002</v>
      </c>
      <c r="CZ35" s="31">
        <f t="shared" si="15"/>
        <v>0</v>
      </c>
      <c r="DA35" s="88" t="s">
        <v>403</v>
      </c>
      <c r="DB35" s="29">
        <v>1409</v>
      </c>
      <c r="DC35" s="35"/>
      <c r="DD35" s="35"/>
      <c r="DE35" s="35"/>
      <c r="DF35" s="35"/>
      <c r="DG35" s="33"/>
      <c r="DH35" s="39" t="s">
        <v>454</v>
      </c>
      <c r="DI35" s="6" t="s">
        <v>508</v>
      </c>
      <c r="DJ35" s="7" t="s">
        <v>511</v>
      </c>
      <c r="DK35" s="33">
        <v>1409</v>
      </c>
      <c r="DL35" s="71">
        <f t="shared" si="16"/>
        <v>3.9138888888888888</v>
      </c>
      <c r="DM35" s="68">
        <f t="shared" si="8"/>
        <v>105675000</v>
      </c>
      <c r="DN35" s="68">
        <f t="shared" si="9"/>
        <v>317025000</v>
      </c>
      <c r="DO35" s="35">
        <v>3</v>
      </c>
      <c r="DP35" s="33">
        <f t="shared" si="10"/>
        <v>83.274231678486998</v>
      </c>
      <c r="DQ35" s="35">
        <v>12</v>
      </c>
      <c r="DR35" s="69">
        <f t="shared" si="17"/>
        <v>18360000</v>
      </c>
      <c r="DS35" s="33">
        <v>1409</v>
      </c>
      <c r="DT35" s="68">
        <f t="shared" si="18"/>
        <v>42270000</v>
      </c>
      <c r="DU35" s="36">
        <f>2.2+1409</f>
        <v>1411.2</v>
      </c>
      <c r="DV35" s="68">
        <f t="shared" si="19"/>
        <v>14090000</v>
      </c>
      <c r="DW35" s="69">
        <f t="shared" si="11"/>
        <v>497420000</v>
      </c>
      <c r="DX35" s="33">
        <f t="shared" si="12"/>
        <v>0</v>
      </c>
    </row>
    <row r="36" spans="1:128" s="38" customFormat="1" ht="44.25" customHeight="1">
      <c r="A36" s="26">
        <v>30</v>
      </c>
      <c r="B36" s="27" t="s">
        <v>206</v>
      </c>
      <c r="C36" s="89" t="s">
        <v>207</v>
      </c>
      <c r="D36" s="88" t="s">
        <v>421</v>
      </c>
      <c r="E36" s="87" t="s">
        <v>109</v>
      </c>
      <c r="F36" s="28" t="s">
        <v>104</v>
      </c>
      <c r="G36" s="26">
        <v>632</v>
      </c>
      <c r="H36" s="26">
        <v>49</v>
      </c>
      <c r="I36" s="29">
        <v>1137.4000000000001</v>
      </c>
      <c r="J36" s="88" t="s">
        <v>208</v>
      </c>
      <c r="K36" s="26">
        <v>3</v>
      </c>
      <c r="L36" s="26">
        <v>5</v>
      </c>
      <c r="M36" s="29">
        <f t="shared" si="0"/>
        <v>1858</v>
      </c>
      <c r="N36" s="29"/>
      <c r="O36" s="29"/>
      <c r="P36" s="29">
        <f t="shared" si="23"/>
        <v>56</v>
      </c>
      <c r="Q36" s="29">
        <v>14</v>
      </c>
      <c r="R36" s="29">
        <f t="shared" si="21"/>
        <v>0</v>
      </c>
      <c r="S36" s="29"/>
      <c r="T36" s="29">
        <f>U36+V36</f>
        <v>94</v>
      </c>
      <c r="U36" s="29">
        <v>15</v>
      </c>
      <c r="V36" s="29">
        <v>79</v>
      </c>
      <c r="W36" s="29">
        <f t="shared" si="3"/>
        <v>1806</v>
      </c>
      <c r="X36" s="29">
        <f t="shared" si="13"/>
        <v>1829</v>
      </c>
      <c r="Y36" s="29">
        <f t="shared" si="14"/>
        <v>1829</v>
      </c>
      <c r="Z36" s="29">
        <f t="shared" si="4"/>
        <v>1885</v>
      </c>
      <c r="AA36" s="29"/>
      <c r="AB36" s="29"/>
      <c r="AC36" s="29"/>
      <c r="AD36" s="29"/>
      <c r="AE36" s="29"/>
      <c r="AF36" s="29"/>
      <c r="AG36" s="29"/>
      <c r="AH36" s="29"/>
      <c r="AI36" s="29"/>
      <c r="AJ36" s="29"/>
      <c r="AK36" s="29"/>
      <c r="AL36" s="29"/>
      <c r="AM36" s="29"/>
      <c r="AN36" s="29">
        <v>1137</v>
      </c>
      <c r="AO36" s="29"/>
      <c r="AP36" s="29"/>
      <c r="AQ36" s="29"/>
      <c r="AR36" s="29"/>
      <c r="AS36" s="29"/>
      <c r="AT36" s="29"/>
      <c r="AU36" s="30"/>
      <c r="AV36" s="29"/>
      <c r="AW36" s="29"/>
      <c r="AX36" s="29"/>
      <c r="AY36" s="29"/>
      <c r="AZ36" s="29"/>
      <c r="BA36" s="29"/>
      <c r="BB36" s="29"/>
      <c r="BC36" s="29"/>
      <c r="BD36" s="29">
        <f>20+593</f>
        <v>613</v>
      </c>
      <c r="BE36" s="29"/>
      <c r="BF36" s="29"/>
      <c r="BG36" s="29">
        <v>79</v>
      </c>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f t="shared" si="5"/>
        <v>56</v>
      </c>
      <c r="CW36" s="29">
        <f t="shared" si="6"/>
        <v>0</v>
      </c>
      <c r="CX36" s="31">
        <f t="shared" si="7"/>
        <v>1137.4000000000001</v>
      </c>
      <c r="CY36" s="31">
        <v>0</v>
      </c>
      <c r="CZ36" s="31">
        <f t="shared" si="15"/>
        <v>0</v>
      </c>
      <c r="DA36" s="88" t="s">
        <v>403</v>
      </c>
      <c r="DB36" s="29">
        <v>1137</v>
      </c>
      <c r="DC36" s="89"/>
      <c r="DD36" s="26"/>
      <c r="DE36" s="26"/>
      <c r="DF36" s="26"/>
      <c r="DG36" s="33"/>
      <c r="DH36" s="45" t="s">
        <v>500</v>
      </c>
      <c r="DI36" s="6" t="s">
        <v>508</v>
      </c>
      <c r="DJ36" s="7" t="s">
        <v>511</v>
      </c>
      <c r="DK36" s="33">
        <v>1137.4000000000001</v>
      </c>
      <c r="DL36" s="71">
        <f t="shared" si="16"/>
        <v>3.1594444444444445</v>
      </c>
      <c r="DM36" s="68">
        <f t="shared" si="8"/>
        <v>85305000</v>
      </c>
      <c r="DN36" s="68">
        <f t="shared" si="9"/>
        <v>255915000</v>
      </c>
      <c r="DO36" s="35">
        <v>4</v>
      </c>
      <c r="DP36" s="33">
        <f t="shared" si="10"/>
        <v>62.978959025470658</v>
      </c>
      <c r="DQ36" s="35">
        <v>6</v>
      </c>
      <c r="DR36" s="69">
        <f t="shared" si="17"/>
        <v>12240000</v>
      </c>
      <c r="DS36" s="33">
        <v>1137.4000000000001</v>
      </c>
      <c r="DT36" s="68">
        <f t="shared" si="18"/>
        <v>34122000</v>
      </c>
      <c r="DU36" s="36">
        <v>1137.4000000000001</v>
      </c>
      <c r="DV36" s="68">
        <f t="shared" si="19"/>
        <v>11374000</v>
      </c>
      <c r="DW36" s="69">
        <f t="shared" si="11"/>
        <v>398956000</v>
      </c>
      <c r="DX36" s="33">
        <f t="shared" si="12"/>
        <v>0</v>
      </c>
    </row>
    <row r="37" spans="1:128" s="38" customFormat="1" ht="36.6" customHeight="1">
      <c r="A37" s="26">
        <v>31</v>
      </c>
      <c r="B37" s="27" t="s">
        <v>209</v>
      </c>
      <c r="C37" s="89" t="s">
        <v>210</v>
      </c>
      <c r="D37" s="89" t="s">
        <v>455</v>
      </c>
      <c r="E37" s="87" t="s">
        <v>109</v>
      </c>
      <c r="F37" s="28" t="s">
        <v>104</v>
      </c>
      <c r="G37" s="26">
        <v>633</v>
      </c>
      <c r="H37" s="26">
        <v>49</v>
      </c>
      <c r="I37" s="29">
        <f>3.6+1684</f>
        <v>1687.6</v>
      </c>
      <c r="J37" s="88" t="s">
        <v>211</v>
      </c>
      <c r="K37" s="26">
        <v>5</v>
      </c>
      <c r="L37" s="26">
        <v>5</v>
      </c>
      <c r="M37" s="29">
        <f t="shared" si="0"/>
        <v>2830</v>
      </c>
      <c r="N37" s="29"/>
      <c r="O37" s="29"/>
      <c r="P37" s="29">
        <f t="shared" si="23"/>
        <v>0</v>
      </c>
      <c r="Q37" s="29"/>
      <c r="R37" s="29">
        <f t="shared" si="21"/>
        <v>0</v>
      </c>
      <c r="S37" s="29"/>
      <c r="T37" s="29">
        <f>U37+V37</f>
        <v>721</v>
      </c>
      <c r="U37" s="29">
        <v>22</v>
      </c>
      <c r="V37" s="29">
        <f>170+529</f>
        <v>699</v>
      </c>
      <c r="W37" s="29">
        <f t="shared" si="3"/>
        <v>2109</v>
      </c>
      <c r="X37" s="29">
        <f t="shared" si="13"/>
        <v>2808</v>
      </c>
      <c r="Y37" s="29">
        <f t="shared" si="14"/>
        <v>2808</v>
      </c>
      <c r="Z37" s="29">
        <f t="shared" si="4"/>
        <v>2808</v>
      </c>
      <c r="AA37" s="29"/>
      <c r="AB37" s="29"/>
      <c r="AC37" s="29"/>
      <c r="AD37" s="29"/>
      <c r="AE37" s="29"/>
      <c r="AF37" s="29"/>
      <c r="AG37" s="29"/>
      <c r="AH37" s="29"/>
      <c r="AI37" s="29"/>
      <c r="AJ37" s="29"/>
      <c r="AK37" s="29"/>
      <c r="AL37" s="29"/>
      <c r="AM37" s="29"/>
      <c r="AN37" s="29">
        <v>1684</v>
      </c>
      <c r="AO37" s="29"/>
      <c r="AP37" s="29"/>
      <c r="AQ37" s="29"/>
      <c r="AR37" s="29"/>
      <c r="AS37" s="29"/>
      <c r="AT37" s="29"/>
      <c r="AU37" s="30">
        <v>529</v>
      </c>
      <c r="AV37" s="29"/>
      <c r="AW37" s="29"/>
      <c r="AX37" s="29"/>
      <c r="AY37" s="29"/>
      <c r="AZ37" s="29"/>
      <c r="BA37" s="29"/>
      <c r="BB37" s="29">
        <v>425</v>
      </c>
      <c r="BC37" s="29"/>
      <c r="BD37" s="29"/>
      <c r="BE37" s="29"/>
      <c r="BF37" s="29">
        <v>170</v>
      </c>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f t="shared" si="5"/>
        <v>0</v>
      </c>
      <c r="CW37" s="29">
        <f t="shared" si="6"/>
        <v>0</v>
      </c>
      <c r="CX37" s="31">
        <f t="shared" si="7"/>
        <v>1687.6</v>
      </c>
      <c r="CY37" s="31">
        <v>3.6</v>
      </c>
      <c r="CZ37" s="31">
        <f t="shared" si="15"/>
        <v>0</v>
      </c>
      <c r="DA37" s="88" t="s">
        <v>403</v>
      </c>
      <c r="DB37" s="29">
        <v>1684</v>
      </c>
      <c r="DC37" s="89"/>
      <c r="DD37" s="26"/>
      <c r="DE37" s="26"/>
      <c r="DF37" s="26"/>
      <c r="DG37" s="33"/>
      <c r="DH37" s="39" t="s">
        <v>455</v>
      </c>
      <c r="DI37" s="6" t="s">
        <v>508</v>
      </c>
      <c r="DJ37" s="7" t="s">
        <v>511</v>
      </c>
      <c r="DK37" s="33">
        <v>1684</v>
      </c>
      <c r="DL37" s="71">
        <f t="shared" si="16"/>
        <v>4.677777777777778</v>
      </c>
      <c r="DM37" s="68">
        <f t="shared" si="8"/>
        <v>126300000</v>
      </c>
      <c r="DN37" s="68">
        <f t="shared" si="9"/>
        <v>378900000</v>
      </c>
      <c r="DO37" s="35">
        <v>5</v>
      </c>
      <c r="DP37" s="33">
        <f t="shared" si="10"/>
        <v>79.848269321953538</v>
      </c>
      <c r="DQ37" s="35">
        <v>12</v>
      </c>
      <c r="DR37" s="69">
        <f t="shared" si="17"/>
        <v>30600000</v>
      </c>
      <c r="DS37" s="33">
        <v>1684</v>
      </c>
      <c r="DT37" s="68">
        <f t="shared" si="18"/>
        <v>50520000</v>
      </c>
      <c r="DU37" s="36">
        <f>3.6+1684</f>
        <v>1687.6</v>
      </c>
      <c r="DV37" s="68">
        <f t="shared" si="19"/>
        <v>16840000</v>
      </c>
      <c r="DW37" s="69">
        <f t="shared" si="11"/>
        <v>603160000</v>
      </c>
      <c r="DX37" s="33">
        <f t="shared" si="12"/>
        <v>0</v>
      </c>
    </row>
    <row r="38" spans="1:128" s="38" customFormat="1" ht="59.25" customHeight="1">
      <c r="A38" s="26">
        <v>32</v>
      </c>
      <c r="B38" s="27" t="s">
        <v>212</v>
      </c>
      <c r="C38" s="89" t="s">
        <v>213</v>
      </c>
      <c r="D38" s="88" t="s">
        <v>215</v>
      </c>
      <c r="E38" s="87" t="s">
        <v>201</v>
      </c>
      <c r="F38" s="28" t="s">
        <v>104</v>
      </c>
      <c r="G38" s="26">
        <v>634</v>
      </c>
      <c r="H38" s="26">
        <v>49</v>
      </c>
      <c r="I38" s="29">
        <f>7.8+560+1095</f>
        <v>1662.8</v>
      </c>
      <c r="J38" s="88" t="s">
        <v>214</v>
      </c>
      <c r="K38" s="87">
        <v>4</v>
      </c>
      <c r="L38" s="87">
        <v>2</v>
      </c>
      <c r="M38" s="29">
        <f t="shared" si="0"/>
        <v>2104</v>
      </c>
      <c r="N38" s="29"/>
      <c r="O38" s="29"/>
      <c r="P38" s="29">
        <f t="shared" si="23"/>
        <v>0</v>
      </c>
      <c r="Q38" s="29"/>
      <c r="R38" s="29">
        <f t="shared" si="21"/>
        <v>0</v>
      </c>
      <c r="S38" s="29"/>
      <c r="T38" s="29">
        <f>U38+V38</f>
        <v>242</v>
      </c>
      <c r="U38" s="29">
        <v>21</v>
      </c>
      <c r="V38" s="29">
        <v>221</v>
      </c>
      <c r="W38" s="29">
        <f t="shared" si="3"/>
        <v>1862</v>
      </c>
      <c r="X38" s="29">
        <f t="shared" si="13"/>
        <v>2083</v>
      </c>
      <c r="Y38" s="29">
        <f t="shared" si="14"/>
        <v>2083</v>
      </c>
      <c r="Z38" s="29">
        <f t="shared" si="4"/>
        <v>2083</v>
      </c>
      <c r="AA38" s="29"/>
      <c r="AB38" s="29"/>
      <c r="AC38" s="29"/>
      <c r="AD38" s="29"/>
      <c r="AE38" s="29"/>
      <c r="AF38" s="29"/>
      <c r="AG38" s="29"/>
      <c r="AH38" s="29"/>
      <c r="AI38" s="29"/>
      <c r="AJ38" s="29"/>
      <c r="AK38" s="29"/>
      <c r="AL38" s="29"/>
      <c r="AM38" s="29"/>
      <c r="AN38" s="29">
        <v>1095</v>
      </c>
      <c r="AO38" s="29">
        <v>560</v>
      </c>
      <c r="AP38" s="29"/>
      <c r="AQ38" s="29"/>
      <c r="AR38" s="29"/>
      <c r="AS38" s="29"/>
      <c r="AT38" s="29"/>
      <c r="AU38" s="30"/>
      <c r="AV38" s="29"/>
      <c r="AW38" s="29"/>
      <c r="AX38" s="29"/>
      <c r="AY38" s="29"/>
      <c r="AZ38" s="29"/>
      <c r="BA38" s="29"/>
      <c r="BB38" s="29"/>
      <c r="BC38" s="29">
        <f>73+134</f>
        <v>207</v>
      </c>
      <c r="BD38" s="29"/>
      <c r="BE38" s="29"/>
      <c r="BF38" s="29"/>
      <c r="BG38" s="29">
        <v>221</v>
      </c>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f t="shared" si="5"/>
        <v>0</v>
      </c>
      <c r="CW38" s="29">
        <f t="shared" si="6"/>
        <v>0</v>
      </c>
      <c r="CX38" s="31">
        <f t="shared" si="7"/>
        <v>1662.8</v>
      </c>
      <c r="CY38" s="31">
        <v>7.8</v>
      </c>
      <c r="CZ38" s="31">
        <f t="shared" si="15"/>
        <v>0</v>
      </c>
      <c r="DA38" s="88" t="s">
        <v>403</v>
      </c>
      <c r="DB38" s="29">
        <v>1095</v>
      </c>
      <c r="DC38" s="89"/>
      <c r="DD38" s="26"/>
      <c r="DE38" s="26"/>
      <c r="DF38" s="26"/>
      <c r="DG38" s="33"/>
      <c r="DH38" s="45" t="s">
        <v>520</v>
      </c>
      <c r="DI38" s="6" t="s">
        <v>515</v>
      </c>
      <c r="DJ38" s="7" t="s">
        <v>516</v>
      </c>
      <c r="DK38" s="33">
        <f>560+1095</f>
        <v>1655</v>
      </c>
      <c r="DL38" s="71">
        <f t="shared" si="16"/>
        <v>4.5972222222222223</v>
      </c>
      <c r="DM38" s="68">
        <f t="shared" si="8"/>
        <v>124125000</v>
      </c>
      <c r="DN38" s="68">
        <f t="shared" si="9"/>
        <v>372375000</v>
      </c>
      <c r="DO38" s="35">
        <v>2</v>
      </c>
      <c r="DP38" s="33">
        <f t="shared" si="10"/>
        <v>88.882921589688507</v>
      </c>
      <c r="DQ38" s="35">
        <v>12</v>
      </c>
      <c r="DR38" s="69">
        <f t="shared" si="17"/>
        <v>12240000</v>
      </c>
      <c r="DS38" s="33">
        <v>1655</v>
      </c>
      <c r="DT38" s="68">
        <f t="shared" si="18"/>
        <v>49650000</v>
      </c>
      <c r="DU38" s="36">
        <f>7.8+1655</f>
        <v>1662.8</v>
      </c>
      <c r="DV38" s="68">
        <f t="shared" si="19"/>
        <v>16550000</v>
      </c>
      <c r="DW38" s="69">
        <f t="shared" si="11"/>
        <v>574940000</v>
      </c>
      <c r="DX38" s="33">
        <f t="shared" si="12"/>
        <v>0</v>
      </c>
    </row>
    <row r="39" spans="1:128" s="51" customFormat="1" ht="36.6" customHeight="1">
      <c r="A39" s="40">
        <v>33</v>
      </c>
      <c r="B39" s="41" t="s">
        <v>216</v>
      </c>
      <c r="C39" s="45" t="s">
        <v>217</v>
      </c>
      <c r="D39" s="39" t="s">
        <v>456</v>
      </c>
      <c r="E39" s="43" t="s">
        <v>109</v>
      </c>
      <c r="F39" s="40" t="s">
        <v>104</v>
      </c>
      <c r="G39" s="40">
        <v>1290</v>
      </c>
      <c r="H39" s="40">
        <v>49</v>
      </c>
      <c r="I39" s="44">
        <f>121.5+595.6</f>
        <v>717.1</v>
      </c>
      <c r="J39" s="45" t="s">
        <v>218</v>
      </c>
      <c r="K39" s="40">
        <v>1</v>
      </c>
      <c r="L39" s="40">
        <v>3</v>
      </c>
      <c r="M39" s="44">
        <f t="shared" si="0"/>
        <v>726</v>
      </c>
      <c r="N39" s="44"/>
      <c r="O39" s="44"/>
      <c r="P39" s="44">
        <f t="shared" si="23"/>
        <v>0</v>
      </c>
      <c r="Q39" s="44"/>
      <c r="R39" s="44">
        <f t="shared" si="21"/>
        <v>0</v>
      </c>
      <c r="S39" s="44"/>
      <c r="T39" s="44">
        <f>U39+V39</f>
        <v>130.4</v>
      </c>
      <c r="U39" s="44">
        <v>9</v>
      </c>
      <c r="V39" s="44">
        <v>121.4</v>
      </c>
      <c r="W39" s="44">
        <f t="shared" si="3"/>
        <v>595.6</v>
      </c>
      <c r="X39" s="29">
        <f t="shared" si="13"/>
        <v>717</v>
      </c>
      <c r="Y39" s="29">
        <f t="shared" si="14"/>
        <v>717</v>
      </c>
      <c r="Z39" s="44">
        <f t="shared" si="4"/>
        <v>717</v>
      </c>
      <c r="AA39" s="44"/>
      <c r="AB39" s="44"/>
      <c r="AC39" s="44"/>
      <c r="AD39" s="44"/>
      <c r="AE39" s="44"/>
      <c r="AF39" s="44"/>
      <c r="AG39" s="44"/>
      <c r="AH39" s="44"/>
      <c r="AI39" s="44"/>
      <c r="AJ39" s="44"/>
      <c r="AK39" s="44"/>
      <c r="AL39" s="44"/>
      <c r="AM39" s="44"/>
      <c r="AN39" s="44"/>
      <c r="AO39" s="44">
        <v>717</v>
      </c>
      <c r="AP39" s="44"/>
      <c r="AQ39" s="44"/>
      <c r="AR39" s="44"/>
      <c r="AS39" s="44"/>
      <c r="AT39" s="44"/>
      <c r="AU39" s="46"/>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f t="shared" si="5"/>
        <v>0</v>
      </c>
      <c r="CW39" s="44">
        <f t="shared" si="6"/>
        <v>0</v>
      </c>
      <c r="CX39" s="31">
        <f t="shared" ref="CX39:CX70" si="24">CY39+DK39</f>
        <v>717.1</v>
      </c>
      <c r="CY39" s="47">
        <v>121.5</v>
      </c>
      <c r="CZ39" s="31">
        <f t="shared" si="15"/>
        <v>0</v>
      </c>
      <c r="DA39" s="88" t="s">
        <v>403</v>
      </c>
      <c r="DB39" s="44">
        <f>717-121.4</f>
        <v>595.6</v>
      </c>
      <c r="DC39" s="39"/>
      <c r="DD39" s="40"/>
      <c r="DE39" s="40"/>
      <c r="DF39" s="40"/>
      <c r="DG39" s="49"/>
      <c r="DH39" s="39" t="s">
        <v>456</v>
      </c>
      <c r="DI39" s="1" t="s">
        <v>508</v>
      </c>
      <c r="DJ39" s="2" t="s">
        <v>510</v>
      </c>
      <c r="DK39" s="49">
        <v>595.6</v>
      </c>
      <c r="DL39" s="71">
        <f t="shared" si="16"/>
        <v>1.6544444444444446</v>
      </c>
      <c r="DM39" s="68">
        <f t="shared" si="8"/>
        <v>44670000</v>
      </c>
      <c r="DN39" s="68">
        <f t="shared" si="9"/>
        <v>134010000</v>
      </c>
      <c r="DO39" s="50">
        <v>6</v>
      </c>
      <c r="DP39" s="33">
        <f t="shared" ref="DP39:DP70" si="25">DK39/W39*100</f>
        <v>100</v>
      </c>
      <c r="DQ39" s="50">
        <v>12</v>
      </c>
      <c r="DR39" s="69">
        <f t="shared" si="17"/>
        <v>36720000</v>
      </c>
      <c r="DS39" s="49">
        <v>595.6</v>
      </c>
      <c r="DT39" s="68">
        <f t="shared" si="18"/>
        <v>17868000</v>
      </c>
      <c r="DU39" s="36">
        <f>121.5+595.6</f>
        <v>717.1</v>
      </c>
      <c r="DV39" s="68">
        <f t="shared" si="19"/>
        <v>5956000</v>
      </c>
      <c r="DW39" s="69">
        <f t="shared" ref="DW39:DW70" si="26">DM39+DN39+DR39+DT39+DV39</f>
        <v>239224000</v>
      </c>
      <c r="DX39" s="33">
        <f t="shared" ref="DX39:DX70" si="27">I39-CX39</f>
        <v>0</v>
      </c>
    </row>
    <row r="40" spans="1:128" s="51" customFormat="1" ht="72" customHeight="1">
      <c r="A40" s="40">
        <v>34</v>
      </c>
      <c r="B40" s="41" t="s">
        <v>219</v>
      </c>
      <c r="C40" s="56" t="s">
        <v>220</v>
      </c>
      <c r="D40" s="88" t="s">
        <v>422</v>
      </c>
      <c r="E40" s="43" t="s">
        <v>109</v>
      </c>
      <c r="F40" s="40" t="s">
        <v>104</v>
      </c>
      <c r="G40" s="40">
        <v>1291</v>
      </c>
      <c r="H40" s="40">
        <v>49</v>
      </c>
      <c r="I40" s="44">
        <v>841.3</v>
      </c>
      <c r="J40" s="56" t="s">
        <v>220</v>
      </c>
      <c r="K40" s="40">
        <v>2</v>
      </c>
      <c r="L40" s="40">
        <v>1</v>
      </c>
      <c r="M40" s="44">
        <f t="shared" si="0"/>
        <v>1052</v>
      </c>
      <c r="N40" s="44"/>
      <c r="O40" s="44"/>
      <c r="P40" s="44">
        <f t="shared" si="23"/>
        <v>0</v>
      </c>
      <c r="Q40" s="44"/>
      <c r="R40" s="44">
        <f t="shared" si="21"/>
        <v>0</v>
      </c>
      <c r="S40" s="44"/>
      <c r="T40" s="44">
        <f t="shared" ref="T40:T98" si="28">U40+V40</f>
        <v>10</v>
      </c>
      <c r="U40" s="44">
        <v>10</v>
      </c>
      <c r="V40" s="44"/>
      <c r="W40" s="44">
        <f t="shared" si="3"/>
        <v>1042</v>
      </c>
      <c r="X40" s="29">
        <f t="shared" si="13"/>
        <v>1042</v>
      </c>
      <c r="Y40" s="29">
        <f t="shared" si="14"/>
        <v>1042</v>
      </c>
      <c r="Z40" s="44">
        <f t="shared" si="4"/>
        <v>1042</v>
      </c>
      <c r="AA40" s="44"/>
      <c r="AB40" s="44"/>
      <c r="AC40" s="44"/>
      <c r="AD40" s="44"/>
      <c r="AE40" s="44"/>
      <c r="AF40" s="44"/>
      <c r="AG40" s="44"/>
      <c r="AH40" s="44"/>
      <c r="AI40" s="44"/>
      <c r="AJ40" s="44"/>
      <c r="AK40" s="44"/>
      <c r="AL40" s="44"/>
      <c r="AM40" s="44"/>
      <c r="AN40" s="44"/>
      <c r="AO40" s="44">
        <v>841</v>
      </c>
      <c r="AP40" s="44"/>
      <c r="AQ40" s="44"/>
      <c r="AR40" s="44"/>
      <c r="AS40" s="44"/>
      <c r="AT40" s="44"/>
      <c r="AU40" s="46"/>
      <c r="AV40" s="44"/>
      <c r="AW40" s="44"/>
      <c r="AX40" s="44"/>
      <c r="AY40" s="44"/>
      <c r="AZ40" s="44"/>
      <c r="BA40" s="44"/>
      <c r="BB40" s="44"/>
      <c r="BC40" s="44"/>
      <c r="BD40" s="44">
        <v>201</v>
      </c>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f t="shared" si="5"/>
        <v>0</v>
      </c>
      <c r="CW40" s="44">
        <f t="shared" si="6"/>
        <v>0</v>
      </c>
      <c r="CX40" s="31">
        <f t="shared" si="24"/>
        <v>841.30000000000007</v>
      </c>
      <c r="CY40" s="47">
        <v>0</v>
      </c>
      <c r="CZ40" s="31">
        <f t="shared" si="15"/>
        <v>0</v>
      </c>
      <c r="DA40" s="88" t="s">
        <v>404</v>
      </c>
      <c r="DB40" s="44">
        <v>841</v>
      </c>
      <c r="DC40" s="39"/>
      <c r="DD40" s="40"/>
      <c r="DE40" s="40"/>
      <c r="DF40" s="40"/>
      <c r="DG40" s="49"/>
      <c r="DH40" s="45" t="s">
        <v>529</v>
      </c>
      <c r="DI40" s="1" t="s">
        <v>508</v>
      </c>
      <c r="DJ40" s="2" t="s">
        <v>510</v>
      </c>
      <c r="DK40" s="49">
        <v>841.30000000000007</v>
      </c>
      <c r="DL40" s="71">
        <f t="shared" si="16"/>
        <v>2.3369444444444447</v>
      </c>
      <c r="DM40" s="68">
        <f t="shared" si="8"/>
        <v>63098000</v>
      </c>
      <c r="DN40" s="68">
        <f t="shared" si="9"/>
        <v>189293000</v>
      </c>
      <c r="DO40" s="50">
        <v>1</v>
      </c>
      <c r="DP40" s="33">
        <f t="shared" si="25"/>
        <v>80.738963531669867</v>
      </c>
      <c r="DQ40" s="50">
        <v>12</v>
      </c>
      <c r="DR40" s="69">
        <f t="shared" si="17"/>
        <v>6120000</v>
      </c>
      <c r="DS40" s="49">
        <v>841.30000000000007</v>
      </c>
      <c r="DT40" s="68">
        <f t="shared" si="18"/>
        <v>25239000</v>
      </c>
      <c r="DU40" s="36">
        <v>841.30000000000007</v>
      </c>
      <c r="DV40" s="68">
        <f t="shared" si="19"/>
        <v>8413000</v>
      </c>
      <c r="DW40" s="69">
        <f t="shared" si="26"/>
        <v>292163000</v>
      </c>
      <c r="DX40" s="33">
        <f t="shared" si="27"/>
        <v>0</v>
      </c>
    </row>
    <row r="41" spans="1:128" s="51" customFormat="1" ht="36.6" customHeight="1">
      <c r="A41" s="40">
        <v>35</v>
      </c>
      <c r="B41" s="41" t="s">
        <v>221</v>
      </c>
      <c r="C41" s="45" t="s">
        <v>222</v>
      </c>
      <c r="D41" s="88" t="s">
        <v>224</v>
      </c>
      <c r="E41" s="43" t="s">
        <v>109</v>
      </c>
      <c r="F41" s="40" t="s">
        <v>104</v>
      </c>
      <c r="G41" s="40">
        <v>1294</v>
      </c>
      <c r="H41" s="40">
        <v>49</v>
      </c>
      <c r="I41" s="44">
        <v>1414.1</v>
      </c>
      <c r="J41" s="45" t="s">
        <v>223</v>
      </c>
      <c r="K41" s="40">
        <v>3</v>
      </c>
      <c r="L41" s="40">
        <v>3</v>
      </c>
      <c r="M41" s="44">
        <f t="shared" si="0"/>
        <v>1698</v>
      </c>
      <c r="N41" s="44"/>
      <c r="O41" s="44"/>
      <c r="P41" s="44">
        <f t="shared" si="23"/>
        <v>0</v>
      </c>
      <c r="Q41" s="44"/>
      <c r="R41" s="44">
        <f t="shared" si="21"/>
        <v>0</v>
      </c>
      <c r="S41" s="44"/>
      <c r="T41" s="44">
        <f t="shared" si="28"/>
        <v>17</v>
      </c>
      <c r="U41" s="44">
        <v>17</v>
      </c>
      <c r="V41" s="44"/>
      <c r="W41" s="44">
        <f t="shared" si="3"/>
        <v>1681</v>
      </c>
      <c r="X41" s="29">
        <f t="shared" si="13"/>
        <v>1681</v>
      </c>
      <c r="Y41" s="29">
        <f t="shared" si="14"/>
        <v>1681</v>
      </c>
      <c r="Z41" s="44">
        <f t="shared" si="4"/>
        <v>1681</v>
      </c>
      <c r="AA41" s="44"/>
      <c r="AB41" s="44"/>
      <c r="AC41" s="44"/>
      <c r="AD41" s="44"/>
      <c r="AE41" s="44"/>
      <c r="AF41" s="44"/>
      <c r="AG41" s="44"/>
      <c r="AH41" s="44"/>
      <c r="AI41" s="44"/>
      <c r="AJ41" s="44"/>
      <c r="AK41" s="44"/>
      <c r="AL41" s="44"/>
      <c r="AM41" s="44"/>
      <c r="AN41" s="44"/>
      <c r="AO41" s="44">
        <v>1414</v>
      </c>
      <c r="AP41" s="44"/>
      <c r="AQ41" s="44"/>
      <c r="AR41" s="44"/>
      <c r="AS41" s="44"/>
      <c r="AT41" s="44"/>
      <c r="AU41" s="46"/>
      <c r="AV41" s="44"/>
      <c r="AW41" s="44"/>
      <c r="AX41" s="44"/>
      <c r="AY41" s="44"/>
      <c r="AZ41" s="44"/>
      <c r="BA41" s="44"/>
      <c r="BB41" s="44"/>
      <c r="BC41" s="44">
        <v>267</v>
      </c>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f t="shared" si="5"/>
        <v>0</v>
      </c>
      <c r="CW41" s="44">
        <f t="shared" si="6"/>
        <v>0</v>
      </c>
      <c r="CX41" s="31">
        <f t="shared" si="24"/>
        <v>1414.1</v>
      </c>
      <c r="CY41" s="47">
        <v>0</v>
      </c>
      <c r="CZ41" s="31">
        <f t="shared" si="15"/>
        <v>0</v>
      </c>
      <c r="DA41" s="88" t="s">
        <v>404</v>
      </c>
      <c r="DB41" s="44">
        <v>1414</v>
      </c>
      <c r="DC41" s="39"/>
      <c r="DD41" s="40"/>
      <c r="DE41" s="40"/>
      <c r="DF41" s="40"/>
      <c r="DG41" s="49"/>
      <c r="DH41" s="45" t="s">
        <v>224</v>
      </c>
      <c r="DI41" s="1" t="s">
        <v>508</v>
      </c>
      <c r="DJ41" s="2" t="s">
        <v>510</v>
      </c>
      <c r="DK41" s="49">
        <v>1414.1</v>
      </c>
      <c r="DL41" s="71">
        <f t="shared" si="16"/>
        <v>3.9280555555555554</v>
      </c>
      <c r="DM41" s="68">
        <f t="shared" si="8"/>
        <v>106058000</v>
      </c>
      <c r="DN41" s="68">
        <f t="shared" si="9"/>
        <v>318173000</v>
      </c>
      <c r="DO41" s="50">
        <v>4</v>
      </c>
      <c r="DP41" s="33">
        <f t="shared" si="25"/>
        <v>84.122546103509805</v>
      </c>
      <c r="DQ41" s="50">
        <v>12</v>
      </c>
      <c r="DR41" s="69">
        <f t="shared" si="17"/>
        <v>24480000</v>
      </c>
      <c r="DS41" s="49">
        <v>1414.1</v>
      </c>
      <c r="DT41" s="68">
        <f t="shared" si="18"/>
        <v>42423000</v>
      </c>
      <c r="DU41" s="36">
        <v>1414.1</v>
      </c>
      <c r="DV41" s="68">
        <f t="shared" si="19"/>
        <v>14141000</v>
      </c>
      <c r="DW41" s="69">
        <f t="shared" si="26"/>
        <v>505275000</v>
      </c>
      <c r="DX41" s="33">
        <f t="shared" si="27"/>
        <v>0</v>
      </c>
    </row>
    <row r="42" spans="1:128" s="51" customFormat="1" ht="57" customHeight="1">
      <c r="A42" s="40">
        <v>36</v>
      </c>
      <c r="B42" s="41" t="s">
        <v>225</v>
      </c>
      <c r="C42" s="36" t="s">
        <v>226</v>
      </c>
      <c r="D42" s="88" t="s">
        <v>423</v>
      </c>
      <c r="E42" s="43" t="s">
        <v>109</v>
      </c>
      <c r="F42" s="40" t="s">
        <v>104</v>
      </c>
      <c r="G42" s="40">
        <v>1294</v>
      </c>
      <c r="H42" s="40">
        <v>49</v>
      </c>
      <c r="I42" s="44">
        <f>100.5+936.5</f>
        <v>1037</v>
      </c>
      <c r="J42" s="44" t="s">
        <v>227</v>
      </c>
      <c r="K42" s="40">
        <v>3</v>
      </c>
      <c r="L42" s="40">
        <v>4</v>
      </c>
      <c r="M42" s="44">
        <f t="shared" si="0"/>
        <v>1778</v>
      </c>
      <c r="N42" s="44"/>
      <c r="O42" s="44"/>
      <c r="P42" s="44">
        <f t="shared" si="23"/>
        <v>0</v>
      </c>
      <c r="Q42" s="44"/>
      <c r="R42" s="44">
        <f t="shared" si="21"/>
        <v>0</v>
      </c>
      <c r="S42" s="44"/>
      <c r="T42" s="44">
        <f t="shared" si="28"/>
        <v>733.5</v>
      </c>
      <c r="U42" s="44">
        <v>12</v>
      </c>
      <c r="V42" s="44">
        <f>281+100.5+340</f>
        <v>721.5</v>
      </c>
      <c r="W42" s="44">
        <f t="shared" si="3"/>
        <v>1044.5</v>
      </c>
      <c r="X42" s="29">
        <f t="shared" si="13"/>
        <v>1766</v>
      </c>
      <c r="Y42" s="29">
        <f t="shared" si="14"/>
        <v>1766</v>
      </c>
      <c r="Z42" s="44">
        <f t="shared" si="4"/>
        <v>1766</v>
      </c>
      <c r="AA42" s="44"/>
      <c r="AB42" s="44"/>
      <c r="AC42" s="44"/>
      <c r="AD42" s="44"/>
      <c r="AE42" s="44"/>
      <c r="AF42" s="44"/>
      <c r="AG42" s="44"/>
      <c r="AH42" s="44"/>
      <c r="AI42" s="44"/>
      <c r="AJ42" s="44"/>
      <c r="AK42" s="44"/>
      <c r="AL42" s="44"/>
      <c r="AM42" s="44"/>
      <c r="AN42" s="44"/>
      <c r="AO42" s="44">
        <v>1037</v>
      </c>
      <c r="AP42" s="44"/>
      <c r="AQ42" s="44"/>
      <c r="AR42" s="44"/>
      <c r="AS42" s="44"/>
      <c r="AT42" s="44"/>
      <c r="AU42" s="46"/>
      <c r="AV42" s="44"/>
      <c r="AW42" s="44"/>
      <c r="AX42" s="44"/>
      <c r="AY42" s="44"/>
      <c r="AZ42" s="44"/>
      <c r="BA42" s="44"/>
      <c r="BB42" s="44"/>
      <c r="BC42" s="44">
        <v>108</v>
      </c>
      <c r="BD42" s="44"/>
      <c r="BE42" s="44"/>
      <c r="BF42" s="44"/>
      <c r="BG42" s="44">
        <v>281</v>
      </c>
      <c r="BH42" s="44">
        <v>340</v>
      </c>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f t="shared" si="5"/>
        <v>0</v>
      </c>
      <c r="CW42" s="44">
        <f t="shared" si="6"/>
        <v>0</v>
      </c>
      <c r="CX42" s="31">
        <f t="shared" si="24"/>
        <v>1037</v>
      </c>
      <c r="CY42" s="47">
        <v>100.5</v>
      </c>
      <c r="CZ42" s="31">
        <f t="shared" si="15"/>
        <v>0</v>
      </c>
      <c r="DA42" s="88" t="s">
        <v>404</v>
      </c>
      <c r="DB42" s="44">
        <v>936.5</v>
      </c>
      <c r="DC42" s="39"/>
      <c r="DD42" s="40"/>
      <c r="DE42" s="40"/>
      <c r="DF42" s="40"/>
      <c r="DG42" s="49"/>
      <c r="DH42" s="45" t="s">
        <v>501</v>
      </c>
      <c r="DI42" s="1" t="s">
        <v>508</v>
      </c>
      <c r="DJ42" s="2" t="s">
        <v>510</v>
      </c>
      <c r="DK42" s="49">
        <v>936.5</v>
      </c>
      <c r="DL42" s="71">
        <f t="shared" si="16"/>
        <v>2.6013888888888888</v>
      </c>
      <c r="DM42" s="68">
        <f t="shared" si="8"/>
        <v>70238000</v>
      </c>
      <c r="DN42" s="68">
        <f t="shared" si="9"/>
        <v>210713000</v>
      </c>
      <c r="DO42" s="50">
        <v>3</v>
      </c>
      <c r="DP42" s="33">
        <f t="shared" si="25"/>
        <v>89.660124461464818</v>
      </c>
      <c r="DQ42" s="50">
        <v>12</v>
      </c>
      <c r="DR42" s="69">
        <f t="shared" si="17"/>
        <v>18360000</v>
      </c>
      <c r="DS42" s="49">
        <v>936.5</v>
      </c>
      <c r="DT42" s="68">
        <f t="shared" si="18"/>
        <v>28095000</v>
      </c>
      <c r="DU42" s="36">
        <f>100.5+936.5</f>
        <v>1037</v>
      </c>
      <c r="DV42" s="68">
        <f t="shared" si="19"/>
        <v>9365000</v>
      </c>
      <c r="DW42" s="69">
        <f t="shared" si="26"/>
        <v>336771000</v>
      </c>
      <c r="DX42" s="33">
        <f t="shared" si="27"/>
        <v>0</v>
      </c>
    </row>
    <row r="43" spans="1:128" s="51" customFormat="1" ht="96.75" customHeight="1">
      <c r="A43" s="40">
        <v>37</v>
      </c>
      <c r="B43" s="41" t="s">
        <v>228</v>
      </c>
      <c r="C43" s="45" t="s">
        <v>229</v>
      </c>
      <c r="D43" s="88" t="s">
        <v>424</v>
      </c>
      <c r="E43" s="43" t="s">
        <v>109</v>
      </c>
      <c r="F43" s="40" t="s">
        <v>104</v>
      </c>
      <c r="G43" s="40">
        <v>1295</v>
      </c>
      <c r="H43" s="40">
        <v>49</v>
      </c>
      <c r="I43" s="44">
        <v>557.29999999999995</v>
      </c>
      <c r="J43" s="56" t="s">
        <v>230</v>
      </c>
      <c r="K43" s="40">
        <v>2</v>
      </c>
      <c r="L43" s="40">
        <v>1</v>
      </c>
      <c r="M43" s="44">
        <f t="shared" si="0"/>
        <v>1052</v>
      </c>
      <c r="N43" s="44"/>
      <c r="O43" s="44"/>
      <c r="P43" s="44">
        <f t="shared" si="23"/>
        <v>0</v>
      </c>
      <c r="Q43" s="44"/>
      <c r="R43" s="44">
        <f t="shared" si="21"/>
        <v>0</v>
      </c>
      <c r="S43" s="44"/>
      <c r="T43" s="44">
        <f t="shared" si="28"/>
        <v>125</v>
      </c>
      <c r="U43" s="44">
        <v>10</v>
      </c>
      <c r="V43" s="44">
        <v>115</v>
      </c>
      <c r="W43" s="44">
        <f t="shared" si="3"/>
        <v>927</v>
      </c>
      <c r="X43" s="29">
        <f t="shared" si="13"/>
        <v>1042</v>
      </c>
      <c r="Y43" s="29">
        <f t="shared" si="14"/>
        <v>1042</v>
      </c>
      <c r="Z43" s="44">
        <f t="shared" si="4"/>
        <v>1042</v>
      </c>
      <c r="AA43" s="44"/>
      <c r="AB43" s="44"/>
      <c r="AC43" s="44"/>
      <c r="AD43" s="44"/>
      <c r="AE43" s="44"/>
      <c r="AF43" s="44"/>
      <c r="AG43" s="44"/>
      <c r="AH43" s="44"/>
      <c r="AI43" s="44"/>
      <c r="AJ43" s="44"/>
      <c r="AK43" s="44"/>
      <c r="AL43" s="44"/>
      <c r="AM43" s="44"/>
      <c r="AN43" s="44"/>
      <c r="AO43" s="44">
        <v>557</v>
      </c>
      <c r="AP43" s="44"/>
      <c r="AQ43" s="44"/>
      <c r="AR43" s="44"/>
      <c r="AS43" s="44"/>
      <c r="AT43" s="44"/>
      <c r="AU43" s="46"/>
      <c r="AV43" s="44"/>
      <c r="AW43" s="44"/>
      <c r="AX43" s="44"/>
      <c r="AY43" s="44"/>
      <c r="AZ43" s="44"/>
      <c r="BA43" s="44"/>
      <c r="BB43" s="44"/>
      <c r="BC43" s="44">
        <v>370</v>
      </c>
      <c r="BD43" s="44"/>
      <c r="BE43" s="44"/>
      <c r="BF43" s="44"/>
      <c r="BG43" s="44">
        <v>115</v>
      </c>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f t="shared" si="5"/>
        <v>0</v>
      </c>
      <c r="CW43" s="44">
        <f t="shared" si="6"/>
        <v>0</v>
      </c>
      <c r="CX43" s="31">
        <f t="shared" si="24"/>
        <v>557.29999999999995</v>
      </c>
      <c r="CY43" s="47">
        <v>0</v>
      </c>
      <c r="CZ43" s="31">
        <f t="shared" si="15"/>
        <v>0</v>
      </c>
      <c r="DA43" s="88" t="s">
        <v>404</v>
      </c>
      <c r="DB43" s="44">
        <v>557</v>
      </c>
      <c r="DC43" s="39"/>
      <c r="DD43" s="40"/>
      <c r="DE43" s="40"/>
      <c r="DF43" s="40"/>
      <c r="DG43" s="49"/>
      <c r="DH43" s="45" t="s">
        <v>533</v>
      </c>
      <c r="DI43" s="1" t="s">
        <v>508</v>
      </c>
      <c r="DJ43" s="2" t="s">
        <v>510</v>
      </c>
      <c r="DK43" s="49">
        <v>557.29999999999995</v>
      </c>
      <c r="DL43" s="71">
        <f t="shared" si="16"/>
        <v>1.5480555555555555</v>
      </c>
      <c r="DM43" s="68">
        <f t="shared" si="8"/>
        <v>41798000</v>
      </c>
      <c r="DN43" s="68">
        <f t="shared" si="9"/>
        <v>125393000</v>
      </c>
      <c r="DO43" s="50">
        <v>0</v>
      </c>
      <c r="DP43" s="33">
        <f t="shared" si="25"/>
        <v>60.118662351672057</v>
      </c>
      <c r="DQ43" s="50">
        <v>6</v>
      </c>
      <c r="DR43" s="69">
        <f t="shared" si="17"/>
        <v>0</v>
      </c>
      <c r="DS43" s="49">
        <v>557.29999999999995</v>
      </c>
      <c r="DT43" s="68">
        <f t="shared" si="18"/>
        <v>16719000</v>
      </c>
      <c r="DU43" s="36">
        <v>557.29999999999995</v>
      </c>
      <c r="DV43" s="68">
        <f t="shared" si="19"/>
        <v>5573000</v>
      </c>
      <c r="DW43" s="69">
        <f t="shared" si="26"/>
        <v>189483000</v>
      </c>
      <c r="DX43" s="33">
        <f t="shared" si="27"/>
        <v>0</v>
      </c>
    </row>
    <row r="44" spans="1:128" s="51" customFormat="1" ht="23.25" customHeight="1">
      <c r="A44" s="40">
        <v>38</v>
      </c>
      <c r="B44" s="41" t="s">
        <v>231</v>
      </c>
      <c r="C44" s="45" t="s">
        <v>232</v>
      </c>
      <c r="D44" s="88" t="s">
        <v>425</v>
      </c>
      <c r="E44" s="43" t="s">
        <v>109</v>
      </c>
      <c r="F44" s="40" t="s">
        <v>104</v>
      </c>
      <c r="G44" s="40">
        <v>1299</v>
      </c>
      <c r="H44" s="40">
        <v>49</v>
      </c>
      <c r="I44" s="44">
        <v>388</v>
      </c>
      <c r="J44" s="45" t="s">
        <v>233</v>
      </c>
      <c r="K44" s="40">
        <v>1</v>
      </c>
      <c r="L44" s="40">
        <v>1</v>
      </c>
      <c r="M44" s="44">
        <f t="shared" si="0"/>
        <v>566</v>
      </c>
      <c r="N44" s="44"/>
      <c r="O44" s="44"/>
      <c r="P44" s="44">
        <f t="shared" si="23"/>
        <v>0</v>
      </c>
      <c r="Q44" s="44"/>
      <c r="R44" s="44">
        <f t="shared" si="21"/>
        <v>0</v>
      </c>
      <c r="S44" s="44"/>
      <c r="T44" s="44">
        <f t="shared" si="28"/>
        <v>178</v>
      </c>
      <c r="U44" s="44">
        <v>6</v>
      </c>
      <c r="V44" s="44">
        <v>172</v>
      </c>
      <c r="W44" s="44">
        <f t="shared" si="3"/>
        <v>388</v>
      </c>
      <c r="X44" s="29">
        <f t="shared" si="13"/>
        <v>560</v>
      </c>
      <c r="Y44" s="29">
        <f t="shared" si="14"/>
        <v>560</v>
      </c>
      <c r="Z44" s="44">
        <f t="shared" si="4"/>
        <v>560</v>
      </c>
      <c r="AA44" s="44"/>
      <c r="AB44" s="44"/>
      <c r="AC44" s="44"/>
      <c r="AD44" s="44"/>
      <c r="AE44" s="44"/>
      <c r="AF44" s="44"/>
      <c r="AG44" s="44"/>
      <c r="AH44" s="44"/>
      <c r="AI44" s="44"/>
      <c r="AJ44" s="44"/>
      <c r="AK44" s="44"/>
      <c r="AL44" s="44"/>
      <c r="AM44" s="44"/>
      <c r="AN44" s="44"/>
      <c r="AO44" s="44">
        <v>388</v>
      </c>
      <c r="AP44" s="44"/>
      <c r="AQ44" s="44"/>
      <c r="AR44" s="44"/>
      <c r="AS44" s="44"/>
      <c r="AT44" s="44"/>
      <c r="AU44" s="46"/>
      <c r="AV44" s="44"/>
      <c r="AW44" s="44"/>
      <c r="AX44" s="44"/>
      <c r="AY44" s="44"/>
      <c r="AZ44" s="44"/>
      <c r="BA44" s="44"/>
      <c r="BB44" s="44"/>
      <c r="BC44" s="44">
        <v>172</v>
      </c>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f t="shared" si="5"/>
        <v>0</v>
      </c>
      <c r="CW44" s="44">
        <f t="shared" si="6"/>
        <v>0</v>
      </c>
      <c r="CX44" s="31">
        <f t="shared" si="24"/>
        <v>388</v>
      </c>
      <c r="CY44" s="47">
        <v>0</v>
      </c>
      <c r="CZ44" s="31">
        <f t="shared" si="15"/>
        <v>0</v>
      </c>
      <c r="DA44" s="88" t="s">
        <v>404</v>
      </c>
      <c r="DB44" s="44">
        <v>388</v>
      </c>
      <c r="DC44" s="39"/>
      <c r="DD44" s="40"/>
      <c r="DE44" s="40"/>
      <c r="DF44" s="40"/>
      <c r="DG44" s="49"/>
      <c r="DH44" s="39" t="s">
        <v>425</v>
      </c>
      <c r="DI44" s="1" t="s">
        <v>508</v>
      </c>
      <c r="DJ44" s="2" t="s">
        <v>510</v>
      </c>
      <c r="DK44" s="49">
        <v>388</v>
      </c>
      <c r="DL44" s="71">
        <f t="shared" si="16"/>
        <v>1.0777777777777777</v>
      </c>
      <c r="DM44" s="68">
        <f t="shared" si="8"/>
        <v>29100000</v>
      </c>
      <c r="DN44" s="68">
        <f t="shared" si="9"/>
        <v>87300000</v>
      </c>
      <c r="DO44" s="50">
        <v>0</v>
      </c>
      <c r="DP44" s="33">
        <f t="shared" si="25"/>
        <v>100</v>
      </c>
      <c r="DQ44" s="50">
        <v>12</v>
      </c>
      <c r="DR44" s="69">
        <f t="shared" si="17"/>
        <v>0</v>
      </c>
      <c r="DS44" s="49">
        <v>388</v>
      </c>
      <c r="DT44" s="68">
        <f t="shared" si="18"/>
        <v>11640000</v>
      </c>
      <c r="DU44" s="36">
        <v>388</v>
      </c>
      <c r="DV44" s="68">
        <f t="shared" si="19"/>
        <v>3880000</v>
      </c>
      <c r="DW44" s="69">
        <f t="shared" si="26"/>
        <v>131920000</v>
      </c>
      <c r="DX44" s="33">
        <f t="shared" si="27"/>
        <v>0</v>
      </c>
    </row>
    <row r="45" spans="1:128" s="51" customFormat="1" ht="36.6" customHeight="1">
      <c r="A45" s="40">
        <v>39</v>
      </c>
      <c r="B45" s="41" t="s">
        <v>234</v>
      </c>
      <c r="C45" s="45" t="s">
        <v>235</v>
      </c>
      <c r="D45" s="39" t="s">
        <v>457</v>
      </c>
      <c r="E45" s="43" t="s">
        <v>109</v>
      </c>
      <c r="F45" s="40" t="s">
        <v>104</v>
      </c>
      <c r="G45" s="40">
        <v>1299</v>
      </c>
      <c r="H45" s="40">
        <v>49</v>
      </c>
      <c r="I45" s="44">
        <v>1098</v>
      </c>
      <c r="J45" s="45" t="s">
        <v>236</v>
      </c>
      <c r="K45" s="40">
        <v>3</v>
      </c>
      <c r="L45" s="40">
        <v>4</v>
      </c>
      <c r="M45" s="44">
        <f t="shared" si="0"/>
        <v>1778</v>
      </c>
      <c r="N45" s="44"/>
      <c r="O45" s="44"/>
      <c r="P45" s="44">
        <f t="shared" si="23"/>
        <v>0</v>
      </c>
      <c r="Q45" s="44"/>
      <c r="R45" s="44">
        <f t="shared" si="21"/>
        <v>0</v>
      </c>
      <c r="S45" s="44"/>
      <c r="T45" s="44">
        <f t="shared" si="28"/>
        <v>14</v>
      </c>
      <c r="U45" s="44">
        <v>14</v>
      </c>
      <c r="V45" s="44"/>
      <c r="W45" s="44">
        <f t="shared" si="3"/>
        <v>1764</v>
      </c>
      <c r="X45" s="29">
        <f t="shared" si="13"/>
        <v>1764</v>
      </c>
      <c r="Y45" s="29">
        <f t="shared" si="14"/>
        <v>1764</v>
      </c>
      <c r="Z45" s="44">
        <f t="shared" si="4"/>
        <v>1764</v>
      </c>
      <c r="AA45" s="44"/>
      <c r="AB45" s="44"/>
      <c r="AC45" s="44"/>
      <c r="AD45" s="44"/>
      <c r="AE45" s="44"/>
      <c r="AF45" s="44"/>
      <c r="AG45" s="44"/>
      <c r="AH45" s="44"/>
      <c r="AI45" s="44"/>
      <c r="AJ45" s="44"/>
      <c r="AK45" s="44"/>
      <c r="AL45" s="44"/>
      <c r="AM45" s="44"/>
      <c r="AN45" s="44"/>
      <c r="AO45" s="44">
        <v>1098</v>
      </c>
      <c r="AP45" s="44"/>
      <c r="AQ45" s="44"/>
      <c r="AR45" s="44"/>
      <c r="AS45" s="44">
        <v>367</v>
      </c>
      <c r="AT45" s="44"/>
      <c r="AU45" s="46"/>
      <c r="AV45" s="44"/>
      <c r="AW45" s="44"/>
      <c r="AX45" s="44"/>
      <c r="AY45" s="44"/>
      <c r="AZ45" s="44"/>
      <c r="BA45" s="44"/>
      <c r="BB45" s="44"/>
      <c r="BC45" s="44">
        <v>299</v>
      </c>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f t="shared" si="5"/>
        <v>0</v>
      </c>
      <c r="CW45" s="44">
        <f t="shared" si="6"/>
        <v>0</v>
      </c>
      <c r="CX45" s="31">
        <f t="shared" si="24"/>
        <v>1098</v>
      </c>
      <c r="CY45" s="47">
        <v>0</v>
      </c>
      <c r="CZ45" s="31">
        <f t="shared" si="15"/>
        <v>0</v>
      </c>
      <c r="DA45" s="88" t="s">
        <v>404</v>
      </c>
      <c r="DB45" s="44">
        <v>1098</v>
      </c>
      <c r="DC45" s="39"/>
      <c r="DD45" s="40"/>
      <c r="DE45" s="40"/>
      <c r="DF45" s="40"/>
      <c r="DG45" s="49"/>
      <c r="DH45" s="39" t="s">
        <v>457</v>
      </c>
      <c r="DI45" s="40"/>
      <c r="DJ45" s="40"/>
      <c r="DK45" s="49">
        <v>1098</v>
      </c>
      <c r="DL45" s="71">
        <f t="shared" si="16"/>
        <v>3.05</v>
      </c>
      <c r="DM45" s="68">
        <f t="shared" si="8"/>
        <v>82350000</v>
      </c>
      <c r="DN45" s="68">
        <f t="shared" si="9"/>
        <v>247050000</v>
      </c>
      <c r="DO45" s="50">
        <v>4</v>
      </c>
      <c r="DP45" s="33">
        <f t="shared" si="25"/>
        <v>62.244897959183675</v>
      </c>
      <c r="DQ45" s="50">
        <v>6</v>
      </c>
      <c r="DR45" s="69">
        <f t="shared" si="17"/>
        <v>12240000</v>
      </c>
      <c r="DS45" s="49">
        <v>1098</v>
      </c>
      <c r="DT45" s="68">
        <f t="shared" si="18"/>
        <v>32940000</v>
      </c>
      <c r="DU45" s="36">
        <v>1098</v>
      </c>
      <c r="DV45" s="68">
        <f t="shared" si="19"/>
        <v>10980000</v>
      </c>
      <c r="DW45" s="69">
        <f t="shared" si="26"/>
        <v>385560000</v>
      </c>
      <c r="DX45" s="33">
        <f t="shared" si="27"/>
        <v>0</v>
      </c>
    </row>
    <row r="46" spans="1:128" s="51" customFormat="1" ht="36.6" customHeight="1">
      <c r="A46" s="40">
        <v>40</v>
      </c>
      <c r="B46" s="41" t="s">
        <v>237</v>
      </c>
      <c r="C46" s="45" t="s">
        <v>238</v>
      </c>
      <c r="D46" s="39" t="s">
        <v>458</v>
      </c>
      <c r="E46" s="43" t="s">
        <v>109</v>
      </c>
      <c r="F46" s="40" t="s">
        <v>104</v>
      </c>
      <c r="G46" s="40">
        <v>1302</v>
      </c>
      <c r="H46" s="40">
        <v>49</v>
      </c>
      <c r="I46" s="44">
        <v>990</v>
      </c>
      <c r="J46" s="45" t="s">
        <v>239</v>
      </c>
      <c r="K46" s="40">
        <v>2</v>
      </c>
      <c r="L46" s="40">
        <v>3</v>
      </c>
      <c r="M46" s="44">
        <f t="shared" si="0"/>
        <v>1212</v>
      </c>
      <c r="N46" s="44"/>
      <c r="O46" s="44"/>
      <c r="P46" s="44">
        <f t="shared" si="23"/>
        <v>0</v>
      </c>
      <c r="Q46" s="44"/>
      <c r="R46" s="44">
        <f t="shared" si="21"/>
        <v>0</v>
      </c>
      <c r="S46" s="44"/>
      <c r="T46" s="44">
        <f t="shared" si="28"/>
        <v>122</v>
      </c>
      <c r="U46" s="44">
        <v>11</v>
      </c>
      <c r="V46" s="44">
        <v>111</v>
      </c>
      <c r="W46" s="44">
        <f t="shared" si="3"/>
        <v>1090</v>
      </c>
      <c r="X46" s="29">
        <f t="shared" si="13"/>
        <v>1201</v>
      </c>
      <c r="Y46" s="29">
        <f t="shared" si="14"/>
        <v>1201</v>
      </c>
      <c r="Z46" s="44">
        <f t="shared" si="4"/>
        <v>1201</v>
      </c>
      <c r="AA46" s="44"/>
      <c r="AB46" s="44"/>
      <c r="AC46" s="44"/>
      <c r="AD46" s="44"/>
      <c r="AE46" s="44"/>
      <c r="AF46" s="44"/>
      <c r="AG46" s="44"/>
      <c r="AH46" s="44"/>
      <c r="AI46" s="44"/>
      <c r="AJ46" s="44"/>
      <c r="AK46" s="44"/>
      <c r="AL46" s="44"/>
      <c r="AM46" s="44"/>
      <c r="AN46" s="44"/>
      <c r="AO46" s="44">
        <v>990</v>
      </c>
      <c r="AP46" s="44"/>
      <c r="AQ46" s="44"/>
      <c r="AR46" s="44"/>
      <c r="AS46" s="44"/>
      <c r="AT46" s="44"/>
      <c r="AU46" s="46"/>
      <c r="AV46" s="44"/>
      <c r="AW46" s="44"/>
      <c r="AX46" s="44"/>
      <c r="AY46" s="44"/>
      <c r="AZ46" s="44"/>
      <c r="BA46" s="44"/>
      <c r="BB46" s="44"/>
      <c r="BC46" s="44">
        <v>100</v>
      </c>
      <c r="BD46" s="44"/>
      <c r="BE46" s="44"/>
      <c r="BF46" s="44">
        <v>111</v>
      </c>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f t="shared" si="5"/>
        <v>0</v>
      </c>
      <c r="CW46" s="44">
        <f t="shared" si="6"/>
        <v>0</v>
      </c>
      <c r="CX46" s="31">
        <f t="shared" si="24"/>
        <v>990</v>
      </c>
      <c r="CY46" s="47">
        <v>0</v>
      </c>
      <c r="CZ46" s="31">
        <f t="shared" si="15"/>
        <v>0</v>
      </c>
      <c r="DA46" s="88" t="s">
        <v>404</v>
      </c>
      <c r="DB46" s="44">
        <v>990</v>
      </c>
      <c r="DC46" s="39"/>
      <c r="DD46" s="40"/>
      <c r="DE46" s="40"/>
      <c r="DF46" s="40"/>
      <c r="DG46" s="49"/>
      <c r="DH46" s="39" t="s">
        <v>458</v>
      </c>
      <c r="DI46" s="1" t="s">
        <v>508</v>
      </c>
      <c r="DJ46" s="2" t="s">
        <v>510</v>
      </c>
      <c r="DK46" s="49">
        <v>990</v>
      </c>
      <c r="DL46" s="71">
        <f t="shared" si="16"/>
        <v>2.75</v>
      </c>
      <c r="DM46" s="68">
        <f t="shared" si="8"/>
        <v>74250000</v>
      </c>
      <c r="DN46" s="68">
        <f t="shared" si="9"/>
        <v>222750000</v>
      </c>
      <c r="DO46" s="50">
        <v>3</v>
      </c>
      <c r="DP46" s="33">
        <f t="shared" si="25"/>
        <v>90.825688073394488</v>
      </c>
      <c r="DQ46" s="50">
        <v>12</v>
      </c>
      <c r="DR46" s="69">
        <f t="shared" si="17"/>
        <v>18360000</v>
      </c>
      <c r="DS46" s="49">
        <v>990</v>
      </c>
      <c r="DT46" s="68">
        <f t="shared" si="18"/>
        <v>29700000</v>
      </c>
      <c r="DU46" s="36">
        <v>990</v>
      </c>
      <c r="DV46" s="68">
        <f t="shared" si="19"/>
        <v>9900000</v>
      </c>
      <c r="DW46" s="69">
        <f t="shared" si="26"/>
        <v>354960000</v>
      </c>
      <c r="DX46" s="33">
        <f t="shared" si="27"/>
        <v>0</v>
      </c>
    </row>
    <row r="47" spans="1:128" s="51" customFormat="1" ht="36.6" customHeight="1">
      <c r="A47" s="40">
        <v>41</v>
      </c>
      <c r="B47" s="41" t="s">
        <v>240</v>
      </c>
      <c r="C47" s="45" t="s">
        <v>241</v>
      </c>
      <c r="D47" s="45" t="s">
        <v>459</v>
      </c>
      <c r="E47" s="43" t="s">
        <v>109</v>
      </c>
      <c r="F47" s="40" t="s">
        <v>104</v>
      </c>
      <c r="G47" s="40">
        <v>1303</v>
      </c>
      <c r="H47" s="40">
        <v>49</v>
      </c>
      <c r="I47" s="44">
        <v>608.20000000000005</v>
      </c>
      <c r="J47" s="56" t="s">
        <v>242</v>
      </c>
      <c r="K47" s="40">
        <v>3</v>
      </c>
      <c r="L47" s="40">
        <v>5</v>
      </c>
      <c r="M47" s="44">
        <f t="shared" si="0"/>
        <v>1858</v>
      </c>
      <c r="N47" s="44"/>
      <c r="O47" s="44"/>
      <c r="P47" s="44">
        <f t="shared" si="23"/>
        <v>0</v>
      </c>
      <c r="Q47" s="44"/>
      <c r="R47" s="44">
        <f t="shared" si="21"/>
        <v>170</v>
      </c>
      <c r="S47" s="44">
        <v>85</v>
      </c>
      <c r="T47" s="44">
        <f t="shared" si="28"/>
        <v>80.400000000000006</v>
      </c>
      <c r="U47" s="44">
        <v>5</v>
      </c>
      <c r="V47" s="44">
        <v>75.400000000000006</v>
      </c>
      <c r="W47" s="44">
        <f t="shared" si="3"/>
        <v>1862.6</v>
      </c>
      <c r="X47" s="29">
        <f t="shared" si="13"/>
        <v>1768</v>
      </c>
      <c r="Y47" s="29">
        <f t="shared" si="14"/>
        <v>1768</v>
      </c>
      <c r="Z47" s="44">
        <f t="shared" si="4"/>
        <v>1938</v>
      </c>
      <c r="AA47" s="44"/>
      <c r="AB47" s="44"/>
      <c r="AC47" s="44"/>
      <c r="AD47" s="44"/>
      <c r="AE47" s="44"/>
      <c r="AF47" s="44"/>
      <c r="AG47" s="44"/>
      <c r="AH47" s="44"/>
      <c r="AI47" s="44"/>
      <c r="AJ47" s="44"/>
      <c r="AK47" s="44"/>
      <c r="AL47" s="44"/>
      <c r="AM47" s="44"/>
      <c r="AN47" s="44"/>
      <c r="AO47" s="44">
        <v>608</v>
      </c>
      <c r="AP47" s="44"/>
      <c r="AQ47" s="44"/>
      <c r="AR47" s="44"/>
      <c r="AS47" s="44"/>
      <c r="AT47" s="44"/>
      <c r="AU47" s="46"/>
      <c r="AV47" s="44"/>
      <c r="AW47" s="44"/>
      <c r="AX47" s="44"/>
      <c r="AY47" s="44"/>
      <c r="AZ47" s="44"/>
      <c r="BA47" s="44"/>
      <c r="BB47" s="44">
        <f>390</f>
        <v>390</v>
      </c>
      <c r="BC47" s="44"/>
      <c r="BD47" s="44">
        <f>459+383-72</f>
        <v>770</v>
      </c>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f t="shared" si="5"/>
        <v>0</v>
      </c>
      <c r="CW47" s="44">
        <f t="shared" si="6"/>
        <v>170</v>
      </c>
      <c r="CX47" s="31">
        <f t="shared" si="24"/>
        <v>608.20000000000005</v>
      </c>
      <c r="CY47" s="47">
        <v>0</v>
      </c>
      <c r="CZ47" s="31">
        <f t="shared" si="15"/>
        <v>0</v>
      </c>
      <c r="DA47" s="88" t="s">
        <v>404</v>
      </c>
      <c r="DB47" s="44">
        <v>608</v>
      </c>
      <c r="DC47" s="39"/>
      <c r="DD47" s="40"/>
      <c r="DE47" s="40"/>
      <c r="DF47" s="40"/>
      <c r="DG47" s="49"/>
      <c r="DH47" s="39" t="s">
        <v>459</v>
      </c>
      <c r="DI47" s="1" t="s">
        <v>508</v>
      </c>
      <c r="DJ47" s="2" t="s">
        <v>510</v>
      </c>
      <c r="DK47" s="49">
        <v>608.20000000000005</v>
      </c>
      <c r="DL47" s="71">
        <f t="shared" si="16"/>
        <v>1.6894444444444445</v>
      </c>
      <c r="DM47" s="68">
        <f t="shared" si="8"/>
        <v>45615000</v>
      </c>
      <c r="DN47" s="68">
        <f t="shared" si="9"/>
        <v>136845000</v>
      </c>
      <c r="DO47" s="50">
        <v>6</v>
      </c>
      <c r="DP47" s="33">
        <f t="shared" si="25"/>
        <v>32.653280360785999</v>
      </c>
      <c r="DQ47" s="50">
        <v>6</v>
      </c>
      <c r="DR47" s="69">
        <f t="shared" si="17"/>
        <v>18360000</v>
      </c>
      <c r="DS47" s="49">
        <v>608.20000000000005</v>
      </c>
      <c r="DT47" s="68">
        <f t="shared" si="18"/>
        <v>18246000</v>
      </c>
      <c r="DU47" s="36">
        <v>608.20000000000005</v>
      </c>
      <c r="DV47" s="68">
        <f t="shared" si="19"/>
        <v>6082000</v>
      </c>
      <c r="DW47" s="69">
        <f t="shared" si="26"/>
        <v>225148000</v>
      </c>
      <c r="DX47" s="33">
        <f t="shared" si="27"/>
        <v>0</v>
      </c>
    </row>
    <row r="48" spans="1:128" s="51" customFormat="1" ht="36.6" customHeight="1">
      <c r="A48" s="40">
        <v>42</v>
      </c>
      <c r="B48" s="41" t="s">
        <v>243</v>
      </c>
      <c r="C48" s="45" t="s">
        <v>244</v>
      </c>
      <c r="D48" s="88" t="s">
        <v>460</v>
      </c>
      <c r="E48" s="43" t="s">
        <v>109</v>
      </c>
      <c r="F48" s="40" t="s">
        <v>104</v>
      </c>
      <c r="G48" s="40">
        <v>1304</v>
      </c>
      <c r="H48" s="40">
        <v>49</v>
      </c>
      <c r="I48" s="44">
        <v>1070.0999999999999</v>
      </c>
      <c r="J48" s="56" t="s">
        <v>245</v>
      </c>
      <c r="K48" s="40">
        <v>3</v>
      </c>
      <c r="L48" s="40">
        <v>3</v>
      </c>
      <c r="M48" s="44">
        <f t="shared" si="0"/>
        <v>1698</v>
      </c>
      <c r="N48" s="44"/>
      <c r="O48" s="44"/>
      <c r="P48" s="44">
        <f t="shared" si="23"/>
        <v>220</v>
      </c>
      <c r="Q48" s="44">
        <v>55</v>
      </c>
      <c r="R48" s="44">
        <f t="shared" si="21"/>
        <v>0</v>
      </c>
      <c r="S48" s="44"/>
      <c r="T48" s="44">
        <f t="shared" si="28"/>
        <v>66</v>
      </c>
      <c r="U48" s="44">
        <v>15</v>
      </c>
      <c r="V48" s="44">
        <v>51</v>
      </c>
      <c r="W48" s="44">
        <f t="shared" si="3"/>
        <v>1797</v>
      </c>
      <c r="X48" s="29">
        <f t="shared" si="13"/>
        <v>1628</v>
      </c>
      <c r="Y48" s="29">
        <f t="shared" si="14"/>
        <v>1628</v>
      </c>
      <c r="Z48" s="44">
        <f t="shared" si="4"/>
        <v>1848</v>
      </c>
      <c r="AA48" s="44"/>
      <c r="AB48" s="44"/>
      <c r="AC48" s="44"/>
      <c r="AD48" s="44"/>
      <c r="AE48" s="44"/>
      <c r="AF48" s="44"/>
      <c r="AG48" s="44"/>
      <c r="AH48" s="44"/>
      <c r="AI48" s="44"/>
      <c r="AJ48" s="44"/>
      <c r="AK48" s="44"/>
      <c r="AL48" s="44"/>
      <c r="AM48" s="44"/>
      <c r="AN48" s="44">
        <v>235</v>
      </c>
      <c r="AO48" s="44">
        <v>1070</v>
      </c>
      <c r="AP48" s="44"/>
      <c r="AQ48" s="44"/>
      <c r="AR48" s="44"/>
      <c r="AS48" s="44"/>
      <c r="AT48" s="44"/>
      <c r="AU48" s="46">
        <v>51</v>
      </c>
      <c r="AV48" s="44"/>
      <c r="AW48" s="44"/>
      <c r="AX48" s="44"/>
      <c r="AY48" s="44"/>
      <c r="AZ48" s="44"/>
      <c r="BA48" s="44"/>
      <c r="BB48" s="44"/>
      <c r="BC48" s="44">
        <v>272</v>
      </c>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f t="shared" si="5"/>
        <v>220</v>
      </c>
      <c r="CW48" s="44">
        <f t="shared" si="6"/>
        <v>0</v>
      </c>
      <c r="CX48" s="31">
        <f t="shared" si="24"/>
        <v>1070.0999999999999</v>
      </c>
      <c r="CY48" s="47">
        <v>0</v>
      </c>
      <c r="CZ48" s="31">
        <f t="shared" si="15"/>
        <v>0</v>
      </c>
      <c r="DA48" s="88" t="s">
        <v>404</v>
      </c>
      <c r="DB48" s="44">
        <v>1070</v>
      </c>
      <c r="DC48" s="39"/>
      <c r="DD48" s="40"/>
      <c r="DE48" s="40"/>
      <c r="DF48" s="40"/>
      <c r="DG48" s="49"/>
      <c r="DH48" s="45" t="s">
        <v>460</v>
      </c>
      <c r="DI48" s="1" t="s">
        <v>508</v>
      </c>
      <c r="DJ48" s="2" t="s">
        <v>510</v>
      </c>
      <c r="DK48" s="49">
        <v>1070.0999999999999</v>
      </c>
      <c r="DL48" s="71">
        <f t="shared" si="16"/>
        <v>2.9724999999999997</v>
      </c>
      <c r="DM48" s="68">
        <f t="shared" si="8"/>
        <v>80258000</v>
      </c>
      <c r="DN48" s="68">
        <f t="shared" si="9"/>
        <v>240773000</v>
      </c>
      <c r="DO48" s="50">
        <v>2</v>
      </c>
      <c r="DP48" s="33">
        <f t="shared" si="25"/>
        <v>59.549248747913182</v>
      </c>
      <c r="DQ48" s="50">
        <v>6</v>
      </c>
      <c r="DR48" s="69">
        <f t="shared" si="17"/>
        <v>6120000</v>
      </c>
      <c r="DS48" s="49">
        <v>1070.0999999999999</v>
      </c>
      <c r="DT48" s="68">
        <f t="shared" si="18"/>
        <v>32103000</v>
      </c>
      <c r="DU48" s="36">
        <v>1070.0999999999999</v>
      </c>
      <c r="DV48" s="68">
        <f t="shared" si="19"/>
        <v>10701000</v>
      </c>
      <c r="DW48" s="69">
        <f t="shared" si="26"/>
        <v>369955000</v>
      </c>
      <c r="DX48" s="33">
        <f t="shared" si="27"/>
        <v>0</v>
      </c>
    </row>
    <row r="49" spans="1:128" s="51" customFormat="1" ht="36.6" customHeight="1">
      <c r="A49" s="40">
        <v>43</v>
      </c>
      <c r="B49" s="41" t="s">
        <v>246</v>
      </c>
      <c r="C49" s="45" t="s">
        <v>247</v>
      </c>
      <c r="D49" s="39" t="s">
        <v>461</v>
      </c>
      <c r="E49" s="43" t="s">
        <v>109</v>
      </c>
      <c r="F49" s="40" t="s">
        <v>104</v>
      </c>
      <c r="G49" s="40">
        <v>1306</v>
      </c>
      <c r="H49" s="40">
        <v>49</v>
      </c>
      <c r="I49" s="44">
        <v>1396.3</v>
      </c>
      <c r="J49" s="56" t="s">
        <v>248</v>
      </c>
      <c r="K49" s="40">
        <v>4</v>
      </c>
      <c r="L49" s="40">
        <v>4</v>
      </c>
      <c r="M49" s="44">
        <f t="shared" si="0"/>
        <v>2264</v>
      </c>
      <c r="N49" s="44"/>
      <c r="O49" s="44"/>
      <c r="P49" s="44">
        <f t="shared" si="23"/>
        <v>0</v>
      </c>
      <c r="Q49" s="44"/>
      <c r="R49" s="44">
        <f t="shared" si="21"/>
        <v>28</v>
      </c>
      <c r="S49" s="44">
        <v>14</v>
      </c>
      <c r="T49" s="44">
        <f t="shared" si="28"/>
        <v>107</v>
      </c>
      <c r="U49" s="44">
        <v>17</v>
      </c>
      <c r="V49" s="44">
        <v>90</v>
      </c>
      <c r="W49" s="44">
        <f t="shared" si="3"/>
        <v>2171</v>
      </c>
      <c r="X49" s="29">
        <f t="shared" si="13"/>
        <v>2233</v>
      </c>
      <c r="Y49" s="29">
        <f t="shared" si="14"/>
        <v>2233</v>
      </c>
      <c r="Z49" s="44">
        <f t="shared" si="4"/>
        <v>2261</v>
      </c>
      <c r="AA49" s="44"/>
      <c r="AB49" s="44"/>
      <c r="AC49" s="44"/>
      <c r="AD49" s="44"/>
      <c r="AE49" s="44"/>
      <c r="AF49" s="44"/>
      <c r="AG49" s="44"/>
      <c r="AH49" s="44"/>
      <c r="AI49" s="44"/>
      <c r="AJ49" s="44"/>
      <c r="AK49" s="44"/>
      <c r="AL49" s="44"/>
      <c r="AM49" s="44"/>
      <c r="AN49" s="44"/>
      <c r="AO49" s="44">
        <v>1396</v>
      </c>
      <c r="AP49" s="44"/>
      <c r="AQ49" s="44"/>
      <c r="AR49" s="44"/>
      <c r="AS49" s="44"/>
      <c r="AT49" s="44"/>
      <c r="AU49" s="46"/>
      <c r="AV49" s="44"/>
      <c r="AW49" s="44"/>
      <c r="AX49" s="44"/>
      <c r="AY49" s="44"/>
      <c r="AZ49" s="44"/>
      <c r="BA49" s="44"/>
      <c r="BB49" s="44"/>
      <c r="BC49" s="44"/>
      <c r="BD49" s="44">
        <v>747</v>
      </c>
      <c r="BE49" s="44"/>
      <c r="BF49" s="44"/>
      <c r="BG49" s="44">
        <v>90</v>
      </c>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f t="shared" si="5"/>
        <v>0</v>
      </c>
      <c r="CW49" s="44">
        <f t="shared" si="6"/>
        <v>28</v>
      </c>
      <c r="CX49" s="31">
        <f t="shared" si="24"/>
        <v>1396.3000000000002</v>
      </c>
      <c r="CY49" s="47">
        <v>0</v>
      </c>
      <c r="CZ49" s="31">
        <f t="shared" si="15"/>
        <v>0</v>
      </c>
      <c r="DA49" s="88" t="s">
        <v>404</v>
      </c>
      <c r="DB49" s="44">
        <v>1396</v>
      </c>
      <c r="DC49" s="39"/>
      <c r="DD49" s="40"/>
      <c r="DE49" s="40"/>
      <c r="DF49" s="40"/>
      <c r="DG49" s="49"/>
      <c r="DH49" s="39" t="s">
        <v>461</v>
      </c>
      <c r="DI49" s="1" t="s">
        <v>508</v>
      </c>
      <c r="DJ49" s="2" t="s">
        <v>510</v>
      </c>
      <c r="DK49" s="49">
        <v>1396.3000000000002</v>
      </c>
      <c r="DL49" s="71">
        <f t="shared" si="16"/>
        <v>3.8786111111111117</v>
      </c>
      <c r="DM49" s="68">
        <f t="shared" si="8"/>
        <v>104723000</v>
      </c>
      <c r="DN49" s="68">
        <f t="shared" si="9"/>
        <v>314168000</v>
      </c>
      <c r="DO49" s="50">
        <v>4</v>
      </c>
      <c r="DP49" s="33">
        <f t="shared" si="25"/>
        <v>64.315983417779833</v>
      </c>
      <c r="DQ49" s="50">
        <v>6</v>
      </c>
      <c r="DR49" s="69">
        <f t="shared" si="17"/>
        <v>12240000</v>
      </c>
      <c r="DS49" s="49">
        <v>1396.3000000000002</v>
      </c>
      <c r="DT49" s="68">
        <f t="shared" si="18"/>
        <v>41889000</v>
      </c>
      <c r="DU49" s="36">
        <v>1396.3000000000002</v>
      </c>
      <c r="DV49" s="68">
        <f t="shared" si="19"/>
        <v>13963000</v>
      </c>
      <c r="DW49" s="69">
        <f t="shared" si="26"/>
        <v>486983000</v>
      </c>
      <c r="DX49" s="33">
        <f t="shared" si="27"/>
        <v>0</v>
      </c>
    </row>
    <row r="50" spans="1:128" s="51" customFormat="1" ht="24.75" customHeight="1">
      <c r="A50" s="40">
        <v>44</v>
      </c>
      <c r="B50" s="41" t="s">
        <v>249</v>
      </c>
      <c r="C50" s="45" t="s">
        <v>250</v>
      </c>
      <c r="D50" s="88" t="s">
        <v>426</v>
      </c>
      <c r="E50" s="43" t="s">
        <v>109</v>
      </c>
      <c r="F50" s="40" t="s">
        <v>104</v>
      </c>
      <c r="G50" s="40">
        <v>1308</v>
      </c>
      <c r="H50" s="40">
        <v>49</v>
      </c>
      <c r="I50" s="44">
        <f>0.6+959.5</f>
        <v>960.1</v>
      </c>
      <c r="J50" s="56" t="s">
        <v>251</v>
      </c>
      <c r="K50" s="40">
        <v>2</v>
      </c>
      <c r="L50" s="40">
        <v>3</v>
      </c>
      <c r="M50" s="44">
        <f t="shared" si="0"/>
        <v>1212</v>
      </c>
      <c r="N50" s="44"/>
      <c r="O50" s="44"/>
      <c r="P50" s="44">
        <f t="shared" si="23"/>
        <v>170</v>
      </c>
      <c r="Q50" s="44">
        <v>42.5</v>
      </c>
      <c r="R50" s="44">
        <f t="shared" si="21"/>
        <v>20</v>
      </c>
      <c r="S50" s="44">
        <v>10</v>
      </c>
      <c r="T50" s="44">
        <f t="shared" si="28"/>
        <v>200</v>
      </c>
      <c r="U50" s="44">
        <v>13</v>
      </c>
      <c r="V50" s="44">
        <v>187</v>
      </c>
      <c r="W50" s="44">
        <f t="shared" si="3"/>
        <v>1149.5</v>
      </c>
      <c r="X50" s="29">
        <f t="shared" si="13"/>
        <v>1146.5</v>
      </c>
      <c r="Y50" s="29">
        <f t="shared" si="14"/>
        <v>1146.5</v>
      </c>
      <c r="Z50" s="44">
        <f t="shared" si="4"/>
        <v>1336.5</v>
      </c>
      <c r="AA50" s="44"/>
      <c r="AB50" s="44"/>
      <c r="AC50" s="44"/>
      <c r="AD50" s="44"/>
      <c r="AE50" s="44"/>
      <c r="AF50" s="44"/>
      <c r="AG50" s="44"/>
      <c r="AH50" s="44"/>
      <c r="AI50" s="44"/>
      <c r="AJ50" s="44"/>
      <c r="AK50" s="44"/>
      <c r="AL50" s="44"/>
      <c r="AM50" s="44"/>
      <c r="AN50" s="44"/>
      <c r="AO50" s="44">
        <v>959.5</v>
      </c>
      <c r="AP50" s="44"/>
      <c r="AQ50" s="44"/>
      <c r="AR50" s="44"/>
      <c r="AS50" s="44"/>
      <c r="AT50" s="44"/>
      <c r="AU50" s="46"/>
      <c r="AV50" s="44"/>
      <c r="AW50" s="44"/>
      <c r="AX50" s="44"/>
      <c r="AY50" s="44"/>
      <c r="AZ50" s="44"/>
      <c r="BA50" s="44"/>
      <c r="BB50" s="44"/>
      <c r="BC50" s="44"/>
      <c r="BD50" s="44"/>
      <c r="BE50" s="44"/>
      <c r="BF50" s="44">
        <v>187</v>
      </c>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f t="shared" si="5"/>
        <v>170</v>
      </c>
      <c r="CW50" s="44">
        <f t="shared" si="6"/>
        <v>20</v>
      </c>
      <c r="CX50" s="31">
        <f t="shared" si="24"/>
        <v>960.1</v>
      </c>
      <c r="CY50" s="47">
        <v>0.6</v>
      </c>
      <c r="CZ50" s="31">
        <f t="shared" si="15"/>
        <v>0</v>
      </c>
      <c r="DA50" s="88" t="s">
        <v>404</v>
      </c>
      <c r="DB50" s="44">
        <v>959.5</v>
      </c>
      <c r="DC50" s="39"/>
      <c r="DD50" s="40"/>
      <c r="DE50" s="40"/>
      <c r="DF50" s="40"/>
      <c r="DG50" s="49"/>
      <c r="DH50" s="45" t="s">
        <v>426</v>
      </c>
      <c r="DI50" s="1" t="s">
        <v>508</v>
      </c>
      <c r="DJ50" s="2" t="s">
        <v>510</v>
      </c>
      <c r="DK50" s="49">
        <v>959.5</v>
      </c>
      <c r="DL50" s="71">
        <f t="shared" si="16"/>
        <v>2.6652777777777779</v>
      </c>
      <c r="DM50" s="68">
        <f t="shared" si="8"/>
        <v>71963000</v>
      </c>
      <c r="DN50" s="68">
        <f t="shared" si="9"/>
        <v>215888000</v>
      </c>
      <c r="DO50" s="50">
        <v>2</v>
      </c>
      <c r="DP50" s="33">
        <f t="shared" si="25"/>
        <v>83.471074380165291</v>
      </c>
      <c r="DQ50" s="50">
        <v>12</v>
      </c>
      <c r="DR50" s="69">
        <f t="shared" si="17"/>
        <v>12240000</v>
      </c>
      <c r="DS50" s="49">
        <v>959.5</v>
      </c>
      <c r="DT50" s="68">
        <f t="shared" si="18"/>
        <v>28785000</v>
      </c>
      <c r="DU50" s="36">
        <f>0.6+959.5</f>
        <v>960.1</v>
      </c>
      <c r="DV50" s="68">
        <f t="shared" si="19"/>
        <v>9595000</v>
      </c>
      <c r="DW50" s="69">
        <f t="shared" si="26"/>
        <v>338471000</v>
      </c>
      <c r="DX50" s="33">
        <f t="shared" si="27"/>
        <v>0</v>
      </c>
    </row>
    <row r="51" spans="1:128" s="51" customFormat="1" ht="22.5" customHeight="1">
      <c r="A51" s="40">
        <v>45</v>
      </c>
      <c r="B51" s="41" t="s">
        <v>252</v>
      </c>
      <c r="C51" s="56" t="s">
        <v>253</v>
      </c>
      <c r="D51" s="39" t="s">
        <v>462</v>
      </c>
      <c r="E51" s="43" t="s">
        <v>109</v>
      </c>
      <c r="F51" s="40" t="s">
        <v>104</v>
      </c>
      <c r="G51" s="40">
        <v>1309</v>
      </c>
      <c r="H51" s="40">
        <v>49</v>
      </c>
      <c r="I51" s="44">
        <v>1357.4</v>
      </c>
      <c r="J51" s="56" t="s">
        <v>254</v>
      </c>
      <c r="K51" s="40">
        <v>3</v>
      </c>
      <c r="L51" s="40">
        <v>3</v>
      </c>
      <c r="M51" s="44">
        <f t="shared" si="0"/>
        <v>1698</v>
      </c>
      <c r="N51" s="44"/>
      <c r="O51" s="44"/>
      <c r="P51" s="44">
        <f>Q51*4</f>
        <v>0</v>
      </c>
      <c r="Q51" s="44"/>
      <c r="R51" s="44">
        <f t="shared" si="21"/>
        <v>0</v>
      </c>
      <c r="S51" s="44"/>
      <c r="T51" s="44">
        <f t="shared" si="28"/>
        <v>18</v>
      </c>
      <c r="U51" s="44">
        <v>18</v>
      </c>
      <c r="V51" s="44"/>
      <c r="W51" s="44">
        <f t="shared" si="3"/>
        <v>1680</v>
      </c>
      <c r="X51" s="29">
        <f t="shared" si="13"/>
        <v>1680</v>
      </c>
      <c r="Y51" s="29">
        <f t="shared" si="14"/>
        <v>1680</v>
      </c>
      <c r="Z51" s="44">
        <f t="shared" si="4"/>
        <v>1680</v>
      </c>
      <c r="AA51" s="44"/>
      <c r="AB51" s="44"/>
      <c r="AC51" s="44"/>
      <c r="AD51" s="44"/>
      <c r="AE51" s="44"/>
      <c r="AF51" s="44"/>
      <c r="AG51" s="44"/>
      <c r="AH51" s="44"/>
      <c r="AI51" s="44"/>
      <c r="AJ51" s="44"/>
      <c r="AK51" s="44"/>
      <c r="AL51" s="44"/>
      <c r="AM51" s="44"/>
      <c r="AN51" s="44"/>
      <c r="AO51" s="44">
        <v>1357</v>
      </c>
      <c r="AP51" s="44"/>
      <c r="AQ51" s="44"/>
      <c r="AR51" s="44"/>
      <c r="AS51" s="44"/>
      <c r="AT51" s="44"/>
      <c r="AU51" s="46"/>
      <c r="AV51" s="44"/>
      <c r="AW51" s="44"/>
      <c r="AX51" s="44"/>
      <c r="AY51" s="44"/>
      <c r="AZ51" s="44"/>
      <c r="BA51" s="44"/>
      <c r="BB51" s="44"/>
      <c r="BC51" s="44"/>
      <c r="BD51" s="44">
        <f>176+141+6</f>
        <v>323</v>
      </c>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f t="shared" si="5"/>
        <v>0</v>
      </c>
      <c r="CW51" s="44">
        <f t="shared" si="6"/>
        <v>0</v>
      </c>
      <c r="CX51" s="31">
        <f t="shared" si="24"/>
        <v>1357.4</v>
      </c>
      <c r="CY51" s="47">
        <v>0</v>
      </c>
      <c r="CZ51" s="31">
        <f t="shared" si="15"/>
        <v>0</v>
      </c>
      <c r="DA51" s="88" t="s">
        <v>404</v>
      </c>
      <c r="DB51" s="44">
        <v>1357</v>
      </c>
      <c r="DC51" s="39"/>
      <c r="DD51" s="40"/>
      <c r="DE51" s="40"/>
      <c r="DF51" s="40"/>
      <c r="DG51" s="49"/>
      <c r="DH51" s="39" t="s">
        <v>253</v>
      </c>
      <c r="DI51" s="1" t="s">
        <v>508</v>
      </c>
      <c r="DJ51" s="2" t="s">
        <v>510</v>
      </c>
      <c r="DK51" s="49">
        <v>1357.4</v>
      </c>
      <c r="DL51" s="71">
        <f t="shared" si="16"/>
        <v>3.7705555555555557</v>
      </c>
      <c r="DM51" s="68">
        <f t="shared" si="8"/>
        <v>101805000</v>
      </c>
      <c r="DN51" s="68">
        <f t="shared" si="9"/>
        <v>305415000</v>
      </c>
      <c r="DO51" s="50">
        <v>3</v>
      </c>
      <c r="DP51" s="33">
        <f t="shared" si="25"/>
        <v>80.797619047619051</v>
      </c>
      <c r="DQ51" s="50">
        <v>12</v>
      </c>
      <c r="DR51" s="69">
        <f t="shared" si="17"/>
        <v>18360000</v>
      </c>
      <c r="DS51" s="49">
        <v>1357.4</v>
      </c>
      <c r="DT51" s="68">
        <f t="shared" si="18"/>
        <v>40722000</v>
      </c>
      <c r="DU51" s="36">
        <v>1357.4</v>
      </c>
      <c r="DV51" s="68">
        <f t="shared" si="19"/>
        <v>13574000</v>
      </c>
      <c r="DW51" s="69">
        <f t="shared" si="26"/>
        <v>479876000</v>
      </c>
      <c r="DX51" s="33">
        <f t="shared" si="27"/>
        <v>0</v>
      </c>
    </row>
    <row r="52" spans="1:128" s="51" customFormat="1" ht="28.5" customHeight="1">
      <c r="A52" s="40">
        <v>46</v>
      </c>
      <c r="B52" s="41" t="s">
        <v>255</v>
      </c>
      <c r="C52" s="56" t="s">
        <v>256</v>
      </c>
      <c r="D52" s="39" t="s">
        <v>427</v>
      </c>
      <c r="E52" s="43" t="s">
        <v>109</v>
      </c>
      <c r="F52" s="40" t="s">
        <v>104</v>
      </c>
      <c r="G52" s="40">
        <v>1312</v>
      </c>
      <c r="H52" s="40">
        <v>49</v>
      </c>
      <c r="I52" s="44">
        <f>0.6+1037.5</f>
        <v>1038.0999999999999</v>
      </c>
      <c r="J52" s="56" t="s">
        <v>256</v>
      </c>
      <c r="K52" s="40">
        <v>3</v>
      </c>
      <c r="L52" s="40">
        <v>3</v>
      </c>
      <c r="M52" s="44">
        <f t="shared" si="0"/>
        <v>1698</v>
      </c>
      <c r="N52" s="44"/>
      <c r="O52" s="44"/>
      <c r="P52" s="44">
        <f>Q52*4</f>
        <v>90</v>
      </c>
      <c r="Q52" s="44">
        <v>22.5</v>
      </c>
      <c r="R52" s="44">
        <f t="shared" si="21"/>
        <v>80</v>
      </c>
      <c r="S52" s="44">
        <v>40</v>
      </c>
      <c r="T52" s="44">
        <f t="shared" si="28"/>
        <v>598</v>
      </c>
      <c r="U52" s="44">
        <v>13</v>
      </c>
      <c r="V52" s="44">
        <f>37+548</f>
        <v>585</v>
      </c>
      <c r="W52" s="44">
        <f t="shared" si="3"/>
        <v>1207.5</v>
      </c>
      <c r="X52" s="29">
        <f t="shared" si="13"/>
        <v>1622.5</v>
      </c>
      <c r="Y52" s="29">
        <f t="shared" si="14"/>
        <v>1622.5</v>
      </c>
      <c r="Z52" s="44">
        <f t="shared" si="4"/>
        <v>1792.5</v>
      </c>
      <c r="AA52" s="44"/>
      <c r="AB52" s="44"/>
      <c r="AC52" s="44"/>
      <c r="AD52" s="44"/>
      <c r="AE52" s="44"/>
      <c r="AF52" s="44"/>
      <c r="AG52" s="44"/>
      <c r="AH52" s="44"/>
      <c r="AI52" s="44"/>
      <c r="AJ52" s="44"/>
      <c r="AK52" s="44"/>
      <c r="AL52" s="44"/>
      <c r="AM52" s="44"/>
      <c r="AN52" s="44"/>
      <c r="AO52" s="44">
        <v>1037.5</v>
      </c>
      <c r="AP52" s="44"/>
      <c r="AQ52" s="44"/>
      <c r="AR52" s="44"/>
      <c r="AS52" s="44"/>
      <c r="AT52" s="44"/>
      <c r="AU52" s="46"/>
      <c r="AV52" s="44"/>
      <c r="AW52" s="44"/>
      <c r="AX52" s="44"/>
      <c r="AY52" s="44"/>
      <c r="AZ52" s="44"/>
      <c r="BA52" s="44"/>
      <c r="BB52" s="44"/>
      <c r="BC52" s="44">
        <v>548</v>
      </c>
      <c r="BD52" s="44"/>
      <c r="BE52" s="44"/>
      <c r="BF52" s="44"/>
      <c r="BG52" s="44">
        <v>37</v>
      </c>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f t="shared" si="5"/>
        <v>90</v>
      </c>
      <c r="CW52" s="44">
        <f t="shared" si="6"/>
        <v>80</v>
      </c>
      <c r="CX52" s="31">
        <f t="shared" si="24"/>
        <v>1038.0999999999999</v>
      </c>
      <c r="CY52" s="47">
        <v>0.6</v>
      </c>
      <c r="CZ52" s="31">
        <f t="shared" si="15"/>
        <v>0</v>
      </c>
      <c r="DA52" s="88" t="s">
        <v>404</v>
      </c>
      <c r="DB52" s="44">
        <v>1037.5</v>
      </c>
      <c r="DC52" s="39"/>
      <c r="DD52" s="40"/>
      <c r="DE52" s="40"/>
      <c r="DF52" s="40"/>
      <c r="DG52" s="49"/>
      <c r="DH52" s="39" t="s">
        <v>427</v>
      </c>
      <c r="DI52" s="1" t="s">
        <v>508</v>
      </c>
      <c r="DJ52" s="2" t="s">
        <v>510</v>
      </c>
      <c r="DK52" s="49">
        <v>1037.5</v>
      </c>
      <c r="DL52" s="71">
        <f t="shared" si="16"/>
        <v>2.8819444444444446</v>
      </c>
      <c r="DM52" s="68">
        <f t="shared" si="8"/>
        <v>77813000</v>
      </c>
      <c r="DN52" s="68">
        <f t="shared" si="9"/>
        <v>233438000</v>
      </c>
      <c r="DO52" s="50">
        <v>5</v>
      </c>
      <c r="DP52" s="33">
        <f t="shared" si="25"/>
        <v>85.921325051759837</v>
      </c>
      <c r="DQ52" s="50">
        <v>12</v>
      </c>
      <c r="DR52" s="69">
        <f t="shared" si="17"/>
        <v>30600000</v>
      </c>
      <c r="DS52" s="49">
        <v>1037.5</v>
      </c>
      <c r="DT52" s="68">
        <f t="shared" si="18"/>
        <v>31125000</v>
      </c>
      <c r="DU52" s="36">
        <f>0.6+1037.5</f>
        <v>1038.0999999999999</v>
      </c>
      <c r="DV52" s="68">
        <f t="shared" si="19"/>
        <v>10375000</v>
      </c>
      <c r="DW52" s="69">
        <f t="shared" si="26"/>
        <v>383351000</v>
      </c>
      <c r="DX52" s="33">
        <f t="shared" si="27"/>
        <v>0</v>
      </c>
    </row>
    <row r="53" spans="1:128" s="51" customFormat="1" ht="41.25" customHeight="1">
      <c r="A53" s="40">
        <v>47</v>
      </c>
      <c r="B53" s="41" t="s">
        <v>257</v>
      </c>
      <c r="C53" s="45" t="s">
        <v>258</v>
      </c>
      <c r="D53" s="88" t="s">
        <v>260</v>
      </c>
      <c r="E53" s="43" t="s">
        <v>109</v>
      </c>
      <c r="F53" s="40" t="s">
        <v>104</v>
      </c>
      <c r="G53" s="40">
        <v>1313</v>
      </c>
      <c r="H53" s="40">
        <v>49</v>
      </c>
      <c r="I53" s="44">
        <v>480.2</v>
      </c>
      <c r="J53" s="56" t="s">
        <v>259</v>
      </c>
      <c r="K53" s="40">
        <v>1</v>
      </c>
      <c r="L53" s="40">
        <v>1</v>
      </c>
      <c r="M53" s="44">
        <f t="shared" si="0"/>
        <v>566</v>
      </c>
      <c r="N53" s="44"/>
      <c r="O53" s="44"/>
      <c r="P53" s="44">
        <v>170</v>
      </c>
      <c r="Q53" s="44">
        <v>42</v>
      </c>
      <c r="R53" s="44">
        <f t="shared" si="21"/>
        <v>80</v>
      </c>
      <c r="S53" s="44">
        <v>40</v>
      </c>
      <c r="T53" s="44">
        <f t="shared" si="28"/>
        <v>4</v>
      </c>
      <c r="U53" s="44">
        <v>4</v>
      </c>
      <c r="V53" s="44"/>
      <c r="W53" s="44">
        <f t="shared" si="3"/>
        <v>730</v>
      </c>
      <c r="X53" s="29">
        <f t="shared" si="13"/>
        <v>480</v>
      </c>
      <c r="Y53" s="29">
        <f t="shared" si="14"/>
        <v>480</v>
      </c>
      <c r="Z53" s="44">
        <f t="shared" si="4"/>
        <v>730</v>
      </c>
      <c r="AA53" s="44"/>
      <c r="AB53" s="44"/>
      <c r="AC53" s="44"/>
      <c r="AD53" s="44"/>
      <c r="AE53" s="44"/>
      <c r="AF53" s="44"/>
      <c r="AG53" s="44"/>
      <c r="AH53" s="44"/>
      <c r="AI53" s="44"/>
      <c r="AJ53" s="44"/>
      <c r="AK53" s="44"/>
      <c r="AL53" s="44"/>
      <c r="AM53" s="44"/>
      <c r="AN53" s="44"/>
      <c r="AO53" s="44">
        <v>480</v>
      </c>
      <c r="AP53" s="44"/>
      <c r="AQ53" s="44"/>
      <c r="AR53" s="44"/>
      <c r="AS53" s="44"/>
      <c r="AT53" s="44"/>
      <c r="AU53" s="46"/>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f t="shared" si="5"/>
        <v>170</v>
      </c>
      <c r="CW53" s="44">
        <f t="shared" si="6"/>
        <v>80</v>
      </c>
      <c r="CX53" s="31">
        <f t="shared" si="24"/>
        <v>480.20000000000005</v>
      </c>
      <c r="CY53" s="47">
        <v>0</v>
      </c>
      <c r="CZ53" s="31">
        <f t="shared" si="15"/>
        <v>0</v>
      </c>
      <c r="DA53" s="88" t="s">
        <v>404</v>
      </c>
      <c r="DB53" s="44">
        <v>480</v>
      </c>
      <c r="DC53" s="39"/>
      <c r="DD53" s="40"/>
      <c r="DE53" s="40"/>
      <c r="DF53" s="40"/>
      <c r="DG53" s="49"/>
      <c r="DH53" s="45" t="s">
        <v>260</v>
      </c>
      <c r="DI53" s="1" t="s">
        <v>508</v>
      </c>
      <c r="DJ53" s="2" t="s">
        <v>510</v>
      </c>
      <c r="DK53" s="49">
        <v>480.20000000000005</v>
      </c>
      <c r="DL53" s="71">
        <f t="shared" si="16"/>
        <v>1.3338888888888891</v>
      </c>
      <c r="DM53" s="68">
        <f t="shared" si="8"/>
        <v>36015000</v>
      </c>
      <c r="DN53" s="68">
        <f t="shared" si="9"/>
        <v>108045000</v>
      </c>
      <c r="DO53" s="50">
        <v>0</v>
      </c>
      <c r="DP53" s="33">
        <f t="shared" si="25"/>
        <v>65.780821917808225</v>
      </c>
      <c r="DQ53" s="50">
        <v>6</v>
      </c>
      <c r="DR53" s="69">
        <f t="shared" si="17"/>
        <v>0</v>
      </c>
      <c r="DS53" s="49">
        <v>480.20000000000005</v>
      </c>
      <c r="DT53" s="68">
        <f t="shared" si="18"/>
        <v>14406000</v>
      </c>
      <c r="DU53" s="36">
        <v>480.20000000000005</v>
      </c>
      <c r="DV53" s="68">
        <f t="shared" si="19"/>
        <v>4802000</v>
      </c>
      <c r="DW53" s="69">
        <f t="shared" si="26"/>
        <v>163268000</v>
      </c>
      <c r="DX53" s="33">
        <f t="shared" si="27"/>
        <v>0</v>
      </c>
    </row>
    <row r="54" spans="1:128" s="51" customFormat="1" ht="56.25" customHeight="1">
      <c r="A54" s="40">
        <v>48</v>
      </c>
      <c r="B54" s="41" t="s">
        <v>261</v>
      </c>
      <c r="C54" s="56" t="s">
        <v>262</v>
      </c>
      <c r="D54" s="88" t="s">
        <v>428</v>
      </c>
      <c r="E54" s="43" t="s">
        <v>109</v>
      </c>
      <c r="F54" s="40" t="s">
        <v>104</v>
      </c>
      <c r="G54" s="40">
        <v>1316</v>
      </c>
      <c r="H54" s="40">
        <v>49</v>
      </c>
      <c r="I54" s="44">
        <v>1703.3</v>
      </c>
      <c r="J54" s="56" t="s">
        <v>263</v>
      </c>
      <c r="K54" s="40">
        <v>5</v>
      </c>
      <c r="L54" s="40">
        <v>6</v>
      </c>
      <c r="M54" s="44">
        <f t="shared" si="0"/>
        <v>2910</v>
      </c>
      <c r="N54" s="44"/>
      <c r="O54" s="44"/>
      <c r="P54" s="44">
        <f>Q54*4</f>
        <v>0</v>
      </c>
      <c r="Q54" s="44"/>
      <c r="R54" s="44">
        <f t="shared" si="21"/>
        <v>0</v>
      </c>
      <c r="S54" s="44"/>
      <c r="T54" s="44">
        <f t="shared" si="28"/>
        <v>1013</v>
      </c>
      <c r="U54" s="44">
        <v>21</v>
      </c>
      <c r="V54" s="44">
        <f>304+688</f>
        <v>992</v>
      </c>
      <c r="W54" s="44">
        <f t="shared" si="3"/>
        <v>1897</v>
      </c>
      <c r="X54" s="29">
        <f t="shared" si="13"/>
        <v>2889</v>
      </c>
      <c r="Y54" s="29">
        <f t="shared" si="14"/>
        <v>2889</v>
      </c>
      <c r="Z54" s="44">
        <f t="shared" si="4"/>
        <v>2889</v>
      </c>
      <c r="AA54" s="44"/>
      <c r="AB54" s="44"/>
      <c r="AC54" s="44"/>
      <c r="AD54" s="44"/>
      <c r="AE54" s="44"/>
      <c r="AF54" s="44"/>
      <c r="AG54" s="44"/>
      <c r="AH54" s="44"/>
      <c r="AI54" s="44"/>
      <c r="AJ54" s="44"/>
      <c r="AK54" s="44"/>
      <c r="AL54" s="44"/>
      <c r="AM54" s="44"/>
      <c r="AN54" s="44"/>
      <c r="AO54" s="44">
        <v>1703</v>
      </c>
      <c r="AP54" s="44"/>
      <c r="AQ54" s="44"/>
      <c r="AR54" s="44"/>
      <c r="AS54" s="44"/>
      <c r="AT54" s="44"/>
      <c r="AU54" s="46"/>
      <c r="AV54" s="44"/>
      <c r="AW54" s="44"/>
      <c r="AX54" s="44"/>
      <c r="AY54" s="44"/>
      <c r="AZ54" s="44"/>
      <c r="BA54" s="44">
        <v>688</v>
      </c>
      <c r="BB54" s="44"/>
      <c r="BC54" s="44">
        <f>6+188</f>
        <v>194</v>
      </c>
      <c r="BD54" s="44"/>
      <c r="BE54" s="44"/>
      <c r="BF54" s="44">
        <v>304</v>
      </c>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f t="shared" si="5"/>
        <v>0</v>
      </c>
      <c r="CW54" s="44">
        <f t="shared" si="6"/>
        <v>0</v>
      </c>
      <c r="CX54" s="47">
        <f t="shared" si="24"/>
        <v>1703.3000000000002</v>
      </c>
      <c r="CY54" s="47">
        <v>0</v>
      </c>
      <c r="CZ54" s="31">
        <f t="shared" si="15"/>
        <v>0</v>
      </c>
      <c r="DA54" s="88" t="s">
        <v>404</v>
      </c>
      <c r="DB54" s="44">
        <v>1703</v>
      </c>
      <c r="DC54" s="39"/>
      <c r="DD54" s="40"/>
      <c r="DE54" s="40"/>
      <c r="DF54" s="40"/>
      <c r="DG54" s="49"/>
      <c r="DH54" s="45" t="s">
        <v>540</v>
      </c>
      <c r="DI54" s="1" t="s">
        <v>508</v>
      </c>
      <c r="DJ54" s="2" t="s">
        <v>510</v>
      </c>
      <c r="DK54" s="49">
        <v>1703.3000000000002</v>
      </c>
      <c r="DL54" s="71">
        <f t="shared" si="16"/>
        <v>4.7313888888888895</v>
      </c>
      <c r="DM54" s="68">
        <f t="shared" si="8"/>
        <v>127748000</v>
      </c>
      <c r="DN54" s="68">
        <f t="shared" si="9"/>
        <v>383243000</v>
      </c>
      <c r="DO54" s="50">
        <v>7</v>
      </c>
      <c r="DP54" s="33">
        <f t="shared" si="25"/>
        <v>89.789140748550352</v>
      </c>
      <c r="DQ54" s="50">
        <v>12</v>
      </c>
      <c r="DR54" s="69">
        <f t="shared" si="17"/>
        <v>42840000</v>
      </c>
      <c r="DS54" s="49">
        <v>1703.3000000000002</v>
      </c>
      <c r="DT54" s="68">
        <f t="shared" si="18"/>
        <v>51099000</v>
      </c>
      <c r="DU54" s="36">
        <v>1703.3000000000002</v>
      </c>
      <c r="DV54" s="68">
        <f t="shared" si="19"/>
        <v>17033000</v>
      </c>
      <c r="DW54" s="69">
        <f t="shared" si="26"/>
        <v>621963000</v>
      </c>
      <c r="DX54" s="33">
        <f t="shared" si="27"/>
        <v>0</v>
      </c>
    </row>
    <row r="55" spans="1:128" s="51" customFormat="1" ht="36.6" customHeight="1">
      <c r="A55" s="40">
        <v>49</v>
      </c>
      <c r="B55" s="41" t="s">
        <v>264</v>
      </c>
      <c r="C55" s="45" t="s">
        <v>265</v>
      </c>
      <c r="D55" s="39" t="s">
        <v>463</v>
      </c>
      <c r="E55" s="43" t="s">
        <v>109</v>
      </c>
      <c r="F55" s="40" t="s">
        <v>104</v>
      </c>
      <c r="G55" s="40">
        <v>1317</v>
      </c>
      <c r="H55" s="40">
        <v>49</v>
      </c>
      <c r="I55" s="44">
        <f>313.5+1456</f>
        <v>1769.5</v>
      </c>
      <c r="J55" s="45" t="s">
        <v>266</v>
      </c>
      <c r="K55" s="40">
        <v>3</v>
      </c>
      <c r="L55" s="40">
        <v>3</v>
      </c>
      <c r="M55" s="44">
        <f t="shared" si="0"/>
        <v>1698</v>
      </c>
      <c r="N55" s="44"/>
      <c r="O55" s="44"/>
      <c r="P55" s="44">
        <f>Q55*4</f>
        <v>0</v>
      </c>
      <c r="Q55" s="44"/>
      <c r="R55" s="44">
        <f t="shared" si="21"/>
        <v>0</v>
      </c>
      <c r="S55" s="44"/>
      <c r="T55" s="44">
        <f t="shared" si="28"/>
        <v>18</v>
      </c>
      <c r="U55" s="44">
        <v>18</v>
      </c>
      <c r="V55" s="44"/>
      <c r="W55" s="44">
        <f t="shared" si="3"/>
        <v>1680</v>
      </c>
      <c r="X55" s="29">
        <f t="shared" si="13"/>
        <v>1680</v>
      </c>
      <c r="Y55" s="29">
        <f t="shared" si="14"/>
        <v>1680</v>
      </c>
      <c r="Z55" s="44">
        <f t="shared" si="4"/>
        <v>1680</v>
      </c>
      <c r="AA55" s="44"/>
      <c r="AB55" s="44"/>
      <c r="AC55" s="44"/>
      <c r="AD55" s="44"/>
      <c r="AE55" s="44"/>
      <c r="AF55" s="44"/>
      <c r="AG55" s="44"/>
      <c r="AH55" s="44"/>
      <c r="AI55" s="44"/>
      <c r="AJ55" s="44"/>
      <c r="AK55" s="44"/>
      <c r="AL55" s="44"/>
      <c r="AM55" s="44"/>
      <c r="AN55" s="44"/>
      <c r="AO55" s="44">
        <v>1456</v>
      </c>
      <c r="AP55" s="44"/>
      <c r="AQ55" s="44"/>
      <c r="AR55" s="44"/>
      <c r="AS55" s="44"/>
      <c r="AT55" s="44"/>
      <c r="AU55" s="46"/>
      <c r="AV55" s="44"/>
      <c r="AW55" s="44"/>
      <c r="AX55" s="44"/>
      <c r="AY55" s="44"/>
      <c r="AZ55" s="44"/>
      <c r="BA55" s="44"/>
      <c r="BB55" s="44"/>
      <c r="BC55" s="44">
        <v>224</v>
      </c>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f t="shared" si="5"/>
        <v>0</v>
      </c>
      <c r="CW55" s="44">
        <f t="shared" si="6"/>
        <v>0</v>
      </c>
      <c r="CX55" s="47">
        <f t="shared" si="24"/>
        <v>1769.5</v>
      </c>
      <c r="CY55" s="47">
        <v>313.5</v>
      </c>
      <c r="CZ55" s="31">
        <f t="shared" si="15"/>
        <v>0</v>
      </c>
      <c r="DA55" s="88" t="s">
        <v>404</v>
      </c>
      <c r="DB55" s="44">
        <v>1456</v>
      </c>
      <c r="DC55" s="39"/>
      <c r="DD55" s="40"/>
      <c r="DE55" s="40"/>
      <c r="DF55" s="40"/>
      <c r="DG55" s="49"/>
      <c r="DH55" s="39" t="s">
        <v>463</v>
      </c>
      <c r="DI55" s="1" t="s">
        <v>508</v>
      </c>
      <c r="DJ55" s="2" t="s">
        <v>510</v>
      </c>
      <c r="DK55" s="49">
        <v>1456</v>
      </c>
      <c r="DL55" s="71">
        <f t="shared" si="16"/>
        <v>4.0444444444444443</v>
      </c>
      <c r="DM55" s="68">
        <f t="shared" si="8"/>
        <v>109200000</v>
      </c>
      <c r="DN55" s="68">
        <f t="shared" si="9"/>
        <v>327600000</v>
      </c>
      <c r="DO55" s="50">
        <v>3</v>
      </c>
      <c r="DP55" s="33">
        <f t="shared" si="25"/>
        <v>86.666666666666671</v>
      </c>
      <c r="DQ55" s="50">
        <v>12</v>
      </c>
      <c r="DR55" s="69">
        <f t="shared" si="17"/>
        <v>18360000</v>
      </c>
      <c r="DS55" s="49">
        <v>1456</v>
      </c>
      <c r="DT55" s="68">
        <f t="shared" si="18"/>
        <v>43680000</v>
      </c>
      <c r="DU55" s="36">
        <f>313.5+1456</f>
        <v>1769.5</v>
      </c>
      <c r="DV55" s="68">
        <f t="shared" si="19"/>
        <v>14560000</v>
      </c>
      <c r="DW55" s="69">
        <f t="shared" si="26"/>
        <v>513400000</v>
      </c>
      <c r="DX55" s="33">
        <f t="shared" si="27"/>
        <v>0</v>
      </c>
    </row>
    <row r="56" spans="1:128" s="51" customFormat="1" ht="36.6" customHeight="1">
      <c r="A56" s="40">
        <v>50</v>
      </c>
      <c r="B56" s="41" t="s">
        <v>267</v>
      </c>
      <c r="C56" s="39" t="s">
        <v>268</v>
      </c>
      <c r="D56" s="39" t="s">
        <v>464</v>
      </c>
      <c r="E56" s="43" t="s">
        <v>109</v>
      </c>
      <c r="F56" s="40" t="s">
        <v>104</v>
      </c>
      <c r="G56" s="40">
        <v>77</v>
      </c>
      <c r="H56" s="40">
        <v>52</v>
      </c>
      <c r="I56" s="44">
        <v>679</v>
      </c>
      <c r="J56" s="56" t="s">
        <v>268</v>
      </c>
      <c r="K56" s="40">
        <v>2</v>
      </c>
      <c r="L56" s="40">
        <v>3</v>
      </c>
      <c r="M56" s="44">
        <f t="shared" si="0"/>
        <v>1212</v>
      </c>
      <c r="N56" s="44"/>
      <c r="O56" s="44"/>
      <c r="P56" s="44">
        <f>Q56*4</f>
        <v>0</v>
      </c>
      <c r="Q56" s="44"/>
      <c r="R56" s="44">
        <f t="shared" si="21"/>
        <v>0</v>
      </c>
      <c r="S56" s="44"/>
      <c r="T56" s="44">
        <f t="shared" si="28"/>
        <v>122.3</v>
      </c>
      <c r="U56" s="44">
        <v>9</v>
      </c>
      <c r="V56" s="44">
        <v>113.3</v>
      </c>
      <c r="W56" s="44">
        <f t="shared" si="3"/>
        <v>1089.7</v>
      </c>
      <c r="X56" s="29">
        <f t="shared" si="13"/>
        <v>1203</v>
      </c>
      <c r="Y56" s="29">
        <f t="shared" si="14"/>
        <v>1203</v>
      </c>
      <c r="Z56" s="44">
        <f t="shared" si="4"/>
        <v>1203</v>
      </c>
      <c r="AA56" s="44"/>
      <c r="AB56" s="44"/>
      <c r="AC56" s="44"/>
      <c r="AD56" s="44"/>
      <c r="AE56" s="44"/>
      <c r="AF56" s="44"/>
      <c r="AG56" s="44"/>
      <c r="AH56" s="44"/>
      <c r="AI56" s="44"/>
      <c r="AJ56" s="44"/>
      <c r="AK56" s="44"/>
      <c r="AL56" s="44"/>
      <c r="AM56" s="44"/>
      <c r="AN56" s="44"/>
      <c r="AO56" s="44">
        <v>679</v>
      </c>
      <c r="AP56" s="44"/>
      <c r="AQ56" s="44"/>
      <c r="AR56" s="44"/>
      <c r="AS56" s="44"/>
      <c r="AT56" s="44"/>
      <c r="AU56" s="46"/>
      <c r="AV56" s="44"/>
      <c r="AW56" s="44"/>
      <c r="AX56" s="44"/>
      <c r="AY56" s="44"/>
      <c r="AZ56" s="44"/>
      <c r="BA56" s="44"/>
      <c r="BB56" s="44">
        <f>19+505</f>
        <v>524</v>
      </c>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f t="shared" si="5"/>
        <v>0</v>
      </c>
      <c r="CW56" s="44">
        <f t="shared" si="6"/>
        <v>0</v>
      </c>
      <c r="CX56" s="47">
        <f t="shared" si="24"/>
        <v>679</v>
      </c>
      <c r="CY56" s="47">
        <v>0</v>
      </c>
      <c r="CZ56" s="31">
        <f t="shared" si="15"/>
        <v>0</v>
      </c>
      <c r="DA56" s="88" t="s">
        <v>404</v>
      </c>
      <c r="DB56" s="44">
        <v>679</v>
      </c>
      <c r="DC56" s="39"/>
      <c r="DD56" s="40"/>
      <c r="DE56" s="40"/>
      <c r="DF56" s="40"/>
      <c r="DG56" s="49"/>
      <c r="DH56" s="39" t="s">
        <v>464</v>
      </c>
      <c r="DI56" s="1" t="s">
        <v>509</v>
      </c>
      <c r="DJ56" s="2" t="s">
        <v>510</v>
      </c>
      <c r="DK56" s="49">
        <v>679</v>
      </c>
      <c r="DL56" s="71">
        <f t="shared" si="16"/>
        <v>1.8861111111111111</v>
      </c>
      <c r="DM56" s="68">
        <f t="shared" si="8"/>
        <v>50925000</v>
      </c>
      <c r="DN56" s="68">
        <f t="shared" si="9"/>
        <v>152775000</v>
      </c>
      <c r="DO56" s="50">
        <v>5</v>
      </c>
      <c r="DP56" s="33">
        <f t="shared" si="25"/>
        <v>62.310727723226577</v>
      </c>
      <c r="DQ56" s="50">
        <v>6</v>
      </c>
      <c r="DR56" s="69">
        <f t="shared" si="17"/>
        <v>15300000</v>
      </c>
      <c r="DS56" s="49">
        <v>679</v>
      </c>
      <c r="DT56" s="68">
        <f t="shared" si="18"/>
        <v>20370000</v>
      </c>
      <c r="DU56" s="36">
        <v>679</v>
      </c>
      <c r="DV56" s="68">
        <f t="shared" si="19"/>
        <v>6790000</v>
      </c>
      <c r="DW56" s="69">
        <f t="shared" si="26"/>
        <v>246160000</v>
      </c>
      <c r="DX56" s="33">
        <f t="shared" si="27"/>
        <v>0</v>
      </c>
    </row>
    <row r="57" spans="1:128" s="51" customFormat="1" ht="39.75" customHeight="1">
      <c r="A57" s="40">
        <v>51</v>
      </c>
      <c r="B57" s="41" t="s">
        <v>269</v>
      </c>
      <c r="C57" s="45" t="s">
        <v>270</v>
      </c>
      <c r="D57" s="88" t="s">
        <v>429</v>
      </c>
      <c r="E57" s="43" t="s">
        <v>109</v>
      </c>
      <c r="F57" s="40" t="s">
        <v>104</v>
      </c>
      <c r="G57" s="40">
        <v>78</v>
      </c>
      <c r="H57" s="40">
        <v>52</v>
      </c>
      <c r="I57" s="44">
        <v>990</v>
      </c>
      <c r="J57" s="56" t="s">
        <v>271</v>
      </c>
      <c r="K57" s="40">
        <v>4</v>
      </c>
      <c r="L57" s="40">
        <v>3</v>
      </c>
      <c r="M57" s="44">
        <f t="shared" si="0"/>
        <v>2184</v>
      </c>
      <c r="N57" s="44"/>
      <c r="O57" s="44"/>
      <c r="P57" s="44">
        <f>Q57*4</f>
        <v>80</v>
      </c>
      <c r="Q57" s="44">
        <v>20</v>
      </c>
      <c r="R57" s="44">
        <f t="shared" si="21"/>
        <v>0</v>
      </c>
      <c r="S57" s="44"/>
      <c r="T57" s="44">
        <f t="shared" si="28"/>
        <v>757.7</v>
      </c>
      <c r="U57" s="44">
        <v>11</v>
      </c>
      <c r="V57" s="44">
        <f>344+100.7+302</f>
        <v>746.7</v>
      </c>
      <c r="W57" s="44">
        <f t="shared" si="3"/>
        <v>1486.3</v>
      </c>
      <c r="X57" s="29">
        <f t="shared" si="13"/>
        <v>2153</v>
      </c>
      <c r="Y57" s="29">
        <f t="shared" si="14"/>
        <v>2153</v>
      </c>
      <c r="Z57" s="44">
        <f t="shared" si="4"/>
        <v>2233</v>
      </c>
      <c r="AA57" s="44"/>
      <c r="AB57" s="44"/>
      <c r="AC57" s="44"/>
      <c r="AD57" s="44"/>
      <c r="AE57" s="44"/>
      <c r="AF57" s="44"/>
      <c r="AG57" s="44"/>
      <c r="AH57" s="44"/>
      <c r="AI57" s="44"/>
      <c r="AJ57" s="44"/>
      <c r="AK57" s="44"/>
      <c r="AL57" s="44"/>
      <c r="AM57" s="44"/>
      <c r="AN57" s="44"/>
      <c r="AO57" s="44">
        <v>990</v>
      </c>
      <c r="AP57" s="44"/>
      <c r="AQ57" s="44"/>
      <c r="AR57" s="44"/>
      <c r="AS57" s="44"/>
      <c r="AT57" s="44"/>
      <c r="AU57" s="46"/>
      <c r="AV57" s="44"/>
      <c r="AW57" s="44"/>
      <c r="AX57" s="44"/>
      <c r="AY57" s="44"/>
      <c r="AZ57" s="44"/>
      <c r="BA57" s="44"/>
      <c r="BB57" s="44">
        <v>517</v>
      </c>
      <c r="BC57" s="44"/>
      <c r="BD57" s="44"/>
      <c r="BE57" s="44"/>
      <c r="BF57" s="44">
        <v>344</v>
      </c>
      <c r="BG57" s="44"/>
      <c r="BH57" s="44">
        <v>302</v>
      </c>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f t="shared" si="5"/>
        <v>80</v>
      </c>
      <c r="CW57" s="44">
        <f t="shared" si="6"/>
        <v>0</v>
      </c>
      <c r="CX57" s="47">
        <f t="shared" si="24"/>
        <v>990</v>
      </c>
      <c r="CY57" s="47">
        <v>0</v>
      </c>
      <c r="CZ57" s="31">
        <f t="shared" si="15"/>
        <v>0</v>
      </c>
      <c r="DA57" s="88" t="s">
        <v>404</v>
      </c>
      <c r="DB57" s="44">
        <v>990</v>
      </c>
      <c r="DC57" s="39"/>
      <c r="DD57" s="40"/>
      <c r="DE57" s="40"/>
      <c r="DF57" s="40"/>
      <c r="DG57" s="49"/>
      <c r="DH57" s="45" t="s">
        <v>502</v>
      </c>
      <c r="DI57" s="1" t="s">
        <v>509</v>
      </c>
      <c r="DJ57" s="2" t="s">
        <v>510</v>
      </c>
      <c r="DK57" s="49">
        <v>990</v>
      </c>
      <c r="DL57" s="71">
        <f t="shared" si="16"/>
        <v>2.75</v>
      </c>
      <c r="DM57" s="68">
        <f t="shared" si="8"/>
        <v>74250000</v>
      </c>
      <c r="DN57" s="68">
        <f t="shared" si="9"/>
        <v>222750000</v>
      </c>
      <c r="DO57" s="50">
        <v>2</v>
      </c>
      <c r="DP57" s="33">
        <f t="shared" si="25"/>
        <v>66.608356321065727</v>
      </c>
      <c r="DQ57" s="50">
        <v>6</v>
      </c>
      <c r="DR57" s="69">
        <f t="shared" si="17"/>
        <v>6120000</v>
      </c>
      <c r="DS57" s="49">
        <v>990</v>
      </c>
      <c r="DT57" s="68">
        <f t="shared" si="18"/>
        <v>29700000</v>
      </c>
      <c r="DU57" s="36">
        <v>990</v>
      </c>
      <c r="DV57" s="68">
        <f t="shared" si="19"/>
        <v>9900000</v>
      </c>
      <c r="DW57" s="69">
        <f t="shared" si="26"/>
        <v>342720000</v>
      </c>
      <c r="DX57" s="33">
        <f t="shared" si="27"/>
        <v>0</v>
      </c>
    </row>
    <row r="58" spans="1:128" s="51" customFormat="1" ht="36.6" customHeight="1">
      <c r="A58" s="26">
        <v>52</v>
      </c>
      <c r="B58" s="41" t="s">
        <v>272</v>
      </c>
      <c r="C58" s="42" t="s">
        <v>273</v>
      </c>
      <c r="D58" s="42" t="s">
        <v>465</v>
      </c>
      <c r="E58" s="43" t="s">
        <v>109</v>
      </c>
      <c r="F58" s="40" t="s">
        <v>104</v>
      </c>
      <c r="G58" s="40">
        <v>1288</v>
      </c>
      <c r="H58" s="40">
        <v>49</v>
      </c>
      <c r="I58" s="44">
        <f>63.7+2686.8+118+402.8</f>
        <v>3271.3</v>
      </c>
      <c r="J58" s="56" t="s">
        <v>274</v>
      </c>
      <c r="K58" s="40">
        <v>4</v>
      </c>
      <c r="L58" s="40">
        <v>5</v>
      </c>
      <c r="M58" s="44">
        <f t="shared" si="0"/>
        <v>2344</v>
      </c>
      <c r="N58" s="44"/>
      <c r="O58" s="44"/>
      <c r="P58" s="44">
        <f t="shared" ref="P58:P98" si="29">Q58*4</f>
        <v>0</v>
      </c>
      <c r="Q58" s="44"/>
      <c r="R58" s="44">
        <f t="shared" si="21"/>
        <v>0</v>
      </c>
      <c r="S58" s="44"/>
      <c r="T58" s="44">
        <f t="shared" si="28"/>
        <v>905.9</v>
      </c>
      <c r="U58" s="44">
        <v>16</v>
      </c>
      <c r="V58" s="44">
        <f>41+142.4+706.5</f>
        <v>889.9</v>
      </c>
      <c r="W58" s="44">
        <f t="shared" si="3"/>
        <v>1438.1</v>
      </c>
      <c r="X58" s="44">
        <f t="shared" si="13"/>
        <v>2328</v>
      </c>
      <c r="Y58" s="44">
        <f t="shared" si="14"/>
        <v>2328</v>
      </c>
      <c r="Z58" s="44">
        <f>SUM(AA58:CW58)</f>
        <v>2328</v>
      </c>
      <c r="AA58" s="44"/>
      <c r="AB58" s="44"/>
      <c r="AC58" s="44"/>
      <c r="AD58" s="44"/>
      <c r="AE58" s="44"/>
      <c r="AF58" s="44"/>
      <c r="AG58" s="44"/>
      <c r="AH58" s="44"/>
      <c r="AI58" s="44"/>
      <c r="AJ58" s="44"/>
      <c r="AK58" s="44"/>
      <c r="AL58" s="44"/>
      <c r="AM58" s="44"/>
      <c r="AN58" s="44"/>
      <c r="AO58" s="44">
        <f>118+1173</f>
        <v>1291</v>
      </c>
      <c r="AP58" s="44"/>
      <c r="AQ58" s="44"/>
      <c r="AR58" s="44"/>
      <c r="AS58" s="44"/>
      <c r="AT58" s="44"/>
      <c r="AU58" s="46"/>
      <c r="AV58" s="44"/>
      <c r="AW58" s="44"/>
      <c r="AX58" s="44"/>
      <c r="AY58" s="44"/>
      <c r="AZ58" s="44"/>
      <c r="BA58" s="44"/>
      <c r="BB58" s="44">
        <v>756</v>
      </c>
      <c r="BC58" s="44">
        <v>240</v>
      </c>
      <c r="BD58" s="44"/>
      <c r="BE58" s="44"/>
      <c r="BF58" s="44">
        <v>41</v>
      </c>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f t="shared" si="5"/>
        <v>0</v>
      </c>
      <c r="CW58" s="44">
        <f t="shared" si="6"/>
        <v>0</v>
      </c>
      <c r="CX58" s="47">
        <f t="shared" si="24"/>
        <v>3042.1</v>
      </c>
      <c r="CY58" s="47">
        <v>2457.6</v>
      </c>
      <c r="CZ58" s="31">
        <f t="shared" si="15"/>
        <v>229.20000000000027</v>
      </c>
      <c r="DA58" s="88" t="s">
        <v>404</v>
      </c>
      <c r="DB58" s="44">
        <f>1173-706.5</f>
        <v>466.5</v>
      </c>
      <c r="DC58" s="39"/>
      <c r="DD58" s="40"/>
      <c r="DE58" s="40"/>
      <c r="DF58" s="40"/>
      <c r="DG58" s="49"/>
      <c r="DH58" s="42" t="s">
        <v>465</v>
      </c>
      <c r="DI58" s="1" t="s">
        <v>515</v>
      </c>
      <c r="DJ58" s="2" t="s">
        <v>510</v>
      </c>
      <c r="DK58" s="49">
        <f>63.7+118+402.8</f>
        <v>584.5</v>
      </c>
      <c r="DL58" s="71">
        <f t="shared" si="16"/>
        <v>1.6236111111111111</v>
      </c>
      <c r="DM58" s="68">
        <f t="shared" si="8"/>
        <v>43838000</v>
      </c>
      <c r="DN58" s="68">
        <f t="shared" si="9"/>
        <v>131513000</v>
      </c>
      <c r="DO58" s="50">
        <v>5</v>
      </c>
      <c r="DP58" s="33">
        <f t="shared" si="25"/>
        <v>40.643905152631952</v>
      </c>
      <c r="DQ58" s="50">
        <v>6</v>
      </c>
      <c r="DR58" s="69">
        <f t="shared" si="17"/>
        <v>15300000</v>
      </c>
      <c r="DS58" s="49">
        <v>584.5</v>
      </c>
      <c r="DT58" s="68">
        <f t="shared" si="18"/>
        <v>17535000</v>
      </c>
      <c r="DU58" s="36">
        <f>584.5</f>
        <v>584.5</v>
      </c>
      <c r="DV58" s="68">
        <f t="shared" si="19"/>
        <v>5845000</v>
      </c>
      <c r="DW58" s="69">
        <f t="shared" si="26"/>
        <v>214031000</v>
      </c>
      <c r="DX58" s="33">
        <f t="shared" si="27"/>
        <v>229.20000000000027</v>
      </c>
    </row>
    <row r="59" spans="1:128" s="51" customFormat="1" ht="36.6" customHeight="1">
      <c r="A59" s="40">
        <v>53</v>
      </c>
      <c r="B59" s="41" t="s">
        <v>275</v>
      </c>
      <c r="C59" s="56" t="s">
        <v>276</v>
      </c>
      <c r="D59" s="88" t="s">
        <v>430</v>
      </c>
      <c r="E59" s="43" t="s">
        <v>109</v>
      </c>
      <c r="F59" s="40" t="s">
        <v>104</v>
      </c>
      <c r="G59" s="40">
        <v>79</v>
      </c>
      <c r="H59" s="40">
        <v>52</v>
      </c>
      <c r="I59" s="44">
        <v>360.2</v>
      </c>
      <c r="J59" s="45" t="s">
        <v>277</v>
      </c>
      <c r="K59" s="40">
        <v>5</v>
      </c>
      <c r="L59" s="40">
        <v>5</v>
      </c>
      <c r="M59" s="44">
        <f>(K59*486)+(L59*80)</f>
        <v>2830</v>
      </c>
      <c r="N59" s="44"/>
      <c r="O59" s="44"/>
      <c r="P59" s="44">
        <f>Q59*4</f>
        <v>0</v>
      </c>
      <c r="Q59" s="44"/>
      <c r="R59" s="44">
        <f>S59*2</f>
        <v>0</v>
      </c>
      <c r="S59" s="44"/>
      <c r="T59" s="44">
        <f>U59+V59</f>
        <v>18</v>
      </c>
      <c r="U59" s="44">
        <v>18</v>
      </c>
      <c r="V59" s="44"/>
      <c r="W59" s="44">
        <f>M59-N59+O59-Q59+P59-S59+R59-T59</f>
        <v>2812</v>
      </c>
      <c r="X59" s="29">
        <f t="shared" si="13"/>
        <v>2812</v>
      </c>
      <c r="Y59" s="29">
        <f t="shared" si="14"/>
        <v>2812</v>
      </c>
      <c r="Z59" s="44">
        <f t="shared" ref="Z59:Z98" si="30">SUM(AA59:CW59)</f>
        <v>2812</v>
      </c>
      <c r="AA59" s="44"/>
      <c r="AB59" s="44"/>
      <c r="AC59" s="44"/>
      <c r="AD59" s="44"/>
      <c r="AE59" s="44"/>
      <c r="AF59" s="44"/>
      <c r="AG59" s="44"/>
      <c r="AH59" s="44"/>
      <c r="AI59" s="44"/>
      <c r="AJ59" s="44"/>
      <c r="AK59" s="44"/>
      <c r="AL59" s="44"/>
      <c r="AM59" s="44"/>
      <c r="AN59" s="44"/>
      <c r="AO59" s="44">
        <v>360</v>
      </c>
      <c r="AP59" s="44"/>
      <c r="AQ59" s="44"/>
      <c r="AR59" s="44"/>
      <c r="AS59" s="44">
        <f>20+1243</f>
        <v>1263</v>
      </c>
      <c r="AT59" s="44">
        <v>1087</v>
      </c>
      <c r="AU59" s="46"/>
      <c r="AV59" s="44"/>
      <c r="AW59" s="44"/>
      <c r="AX59" s="44"/>
      <c r="AY59" s="44"/>
      <c r="AZ59" s="44"/>
      <c r="BA59" s="44"/>
      <c r="BB59" s="44"/>
      <c r="BC59" s="44">
        <v>102</v>
      </c>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f t="shared" si="5"/>
        <v>0</v>
      </c>
      <c r="CW59" s="44">
        <f t="shared" si="6"/>
        <v>0</v>
      </c>
      <c r="CX59" s="47">
        <f t="shared" si="24"/>
        <v>360.2</v>
      </c>
      <c r="CY59" s="47">
        <v>0</v>
      </c>
      <c r="CZ59" s="31">
        <f t="shared" si="15"/>
        <v>0</v>
      </c>
      <c r="DA59" s="88" t="s">
        <v>404</v>
      </c>
      <c r="DB59" s="44">
        <v>360</v>
      </c>
      <c r="DC59" s="39"/>
      <c r="DD59" s="40"/>
      <c r="DE59" s="40"/>
      <c r="DF59" s="40"/>
      <c r="DG59" s="49"/>
      <c r="DH59" s="45" t="s">
        <v>492</v>
      </c>
      <c r="DI59" s="1" t="s">
        <v>509</v>
      </c>
      <c r="DJ59" s="2" t="s">
        <v>510</v>
      </c>
      <c r="DK59" s="49">
        <v>360.2</v>
      </c>
      <c r="DL59" s="71">
        <f t="shared" si="16"/>
        <v>1.0005555555555554</v>
      </c>
      <c r="DM59" s="68">
        <f t="shared" si="8"/>
        <v>27015000</v>
      </c>
      <c r="DN59" s="68">
        <f t="shared" si="9"/>
        <v>81045000</v>
      </c>
      <c r="DO59" s="50">
        <v>4</v>
      </c>
      <c r="DP59" s="33">
        <f t="shared" si="25"/>
        <v>12.809388335704124</v>
      </c>
      <c r="DQ59" s="50">
        <v>3</v>
      </c>
      <c r="DR59" s="69">
        <f t="shared" si="17"/>
        <v>6120000</v>
      </c>
      <c r="DS59" s="49">
        <v>360.2</v>
      </c>
      <c r="DT59" s="68">
        <f t="shared" si="18"/>
        <v>10806000</v>
      </c>
      <c r="DU59" s="36">
        <v>360.2</v>
      </c>
      <c r="DV59" s="68">
        <f t="shared" si="19"/>
        <v>3602000</v>
      </c>
      <c r="DW59" s="69">
        <f t="shared" si="26"/>
        <v>128588000</v>
      </c>
      <c r="DX59" s="33">
        <f t="shared" si="27"/>
        <v>0</v>
      </c>
    </row>
    <row r="60" spans="1:128" s="51" customFormat="1" ht="24.75" customHeight="1">
      <c r="A60" s="40">
        <v>54</v>
      </c>
      <c r="B60" s="41" t="s">
        <v>278</v>
      </c>
      <c r="C60" s="45" t="s">
        <v>279</v>
      </c>
      <c r="D60" s="88" t="s">
        <v>431</v>
      </c>
      <c r="E60" s="43" t="s">
        <v>109</v>
      </c>
      <c r="F60" s="40" t="s">
        <v>104</v>
      </c>
      <c r="G60" s="40">
        <v>81</v>
      </c>
      <c r="H60" s="40">
        <v>52</v>
      </c>
      <c r="I60" s="44">
        <v>559</v>
      </c>
      <c r="J60" s="56" t="s">
        <v>280</v>
      </c>
      <c r="K60" s="40">
        <v>2</v>
      </c>
      <c r="L60" s="40">
        <v>2</v>
      </c>
      <c r="M60" s="44">
        <f>(K60*486)+(L60*80)</f>
        <v>1132</v>
      </c>
      <c r="N60" s="44"/>
      <c r="O60" s="44"/>
      <c r="P60" s="44">
        <f>Q60*4</f>
        <v>180</v>
      </c>
      <c r="Q60" s="44">
        <v>45</v>
      </c>
      <c r="R60" s="44">
        <f>S60*2</f>
        <v>0</v>
      </c>
      <c r="S60" s="44"/>
      <c r="T60" s="44">
        <f>U60+V60</f>
        <v>4</v>
      </c>
      <c r="U60" s="44">
        <v>4</v>
      </c>
      <c r="V60" s="44"/>
      <c r="W60" s="44">
        <f>M60-N60+O60-Q60+P60-S60+R60-T60</f>
        <v>1263</v>
      </c>
      <c r="X60" s="29">
        <f t="shared" si="13"/>
        <v>1083</v>
      </c>
      <c r="Y60" s="29">
        <f t="shared" si="14"/>
        <v>1083</v>
      </c>
      <c r="Z60" s="44">
        <f t="shared" si="30"/>
        <v>1263</v>
      </c>
      <c r="AA60" s="44"/>
      <c r="AB60" s="44"/>
      <c r="AC60" s="44"/>
      <c r="AD60" s="44"/>
      <c r="AE60" s="44"/>
      <c r="AF60" s="44"/>
      <c r="AG60" s="44"/>
      <c r="AH60" s="44"/>
      <c r="AI60" s="44"/>
      <c r="AJ60" s="44"/>
      <c r="AK60" s="44"/>
      <c r="AL60" s="44"/>
      <c r="AM60" s="44"/>
      <c r="AN60" s="44"/>
      <c r="AO60" s="44">
        <v>559</v>
      </c>
      <c r="AP60" s="44"/>
      <c r="AQ60" s="44"/>
      <c r="AR60" s="44"/>
      <c r="AS60" s="44"/>
      <c r="AT60" s="44"/>
      <c r="AU60" s="46"/>
      <c r="AV60" s="44"/>
      <c r="AW60" s="44"/>
      <c r="AX60" s="44"/>
      <c r="AY60" s="44"/>
      <c r="AZ60" s="44"/>
      <c r="BA60" s="44"/>
      <c r="BB60" s="44"/>
      <c r="BC60" s="44"/>
      <c r="BD60" s="44">
        <f>372+152</f>
        <v>524</v>
      </c>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f t="shared" si="5"/>
        <v>180</v>
      </c>
      <c r="CW60" s="44">
        <f t="shared" si="6"/>
        <v>0</v>
      </c>
      <c r="CX60" s="47">
        <f t="shared" si="24"/>
        <v>559</v>
      </c>
      <c r="CY60" s="47">
        <v>0</v>
      </c>
      <c r="CZ60" s="31">
        <f t="shared" si="15"/>
        <v>0</v>
      </c>
      <c r="DA60" s="88" t="s">
        <v>404</v>
      </c>
      <c r="DB60" s="44">
        <v>559</v>
      </c>
      <c r="DC60" s="39"/>
      <c r="DD60" s="40"/>
      <c r="DE60" s="40"/>
      <c r="DF60" s="40"/>
      <c r="DG60" s="49"/>
      <c r="DH60" s="39" t="s">
        <v>431</v>
      </c>
      <c r="DI60" s="1" t="s">
        <v>509</v>
      </c>
      <c r="DJ60" s="2" t="s">
        <v>510</v>
      </c>
      <c r="DK60" s="49">
        <v>559</v>
      </c>
      <c r="DL60" s="71">
        <f t="shared" si="16"/>
        <v>1.5527777777777778</v>
      </c>
      <c r="DM60" s="68">
        <f t="shared" si="8"/>
        <v>41925000</v>
      </c>
      <c r="DN60" s="68">
        <f t="shared" si="9"/>
        <v>125775000</v>
      </c>
      <c r="DO60" s="50">
        <v>0</v>
      </c>
      <c r="DP60" s="33">
        <f t="shared" si="25"/>
        <v>44.2596991290578</v>
      </c>
      <c r="DQ60" s="50">
        <v>6</v>
      </c>
      <c r="DR60" s="69">
        <f t="shared" si="17"/>
        <v>0</v>
      </c>
      <c r="DS60" s="49">
        <v>559</v>
      </c>
      <c r="DT60" s="68">
        <f t="shared" si="18"/>
        <v>16770000</v>
      </c>
      <c r="DU60" s="36">
        <v>559</v>
      </c>
      <c r="DV60" s="68">
        <f t="shared" si="19"/>
        <v>5590000</v>
      </c>
      <c r="DW60" s="69">
        <f t="shared" si="26"/>
        <v>190060000</v>
      </c>
      <c r="DX60" s="33">
        <f t="shared" si="27"/>
        <v>0</v>
      </c>
    </row>
    <row r="61" spans="1:128" s="51" customFormat="1" ht="69.75" customHeight="1">
      <c r="A61" s="40">
        <v>55</v>
      </c>
      <c r="B61" s="41" t="s">
        <v>281</v>
      </c>
      <c r="C61" s="45" t="s">
        <v>282</v>
      </c>
      <c r="D61" s="88" t="s">
        <v>481</v>
      </c>
      <c r="E61" s="43" t="s">
        <v>109</v>
      </c>
      <c r="F61" s="40" t="s">
        <v>104</v>
      </c>
      <c r="G61" s="40">
        <v>1289</v>
      </c>
      <c r="H61" s="40">
        <v>49</v>
      </c>
      <c r="I61" s="44">
        <v>459</v>
      </c>
      <c r="J61" s="45" t="s">
        <v>283</v>
      </c>
      <c r="K61" s="40">
        <v>2</v>
      </c>
      <c r="L61" s="40">
        <v>1</v>
      </c>
      <c r="M61" s="44">
        <f t="shared" si="0"/>
        <v>1052</v>
      </c>
      <c r="N61" s="44"/>
      <c r="O61" s="44"/>
      <c r="P61" s="44">
        <v>50</v>
      </c>
      <c r="Q61" s="44">
        <v>12</v>
      </c>
      <c r="R61" s="44">
        <f t="shared" si="21"/>
        <v>0</v>
      </c>
      <c r="S61" s="44"/>
      <c r="T61" s="44">
        <f t="shared" si="28"/>
        <v>151</v>
      </c>
      <c r="U61" s="44">
        <v>6</v>
      </c>
      <c r="V61" s="44">
        <v>145</v>
      </c>
      <c r="W61" s="44">
        <f t="shared" si="3"/>
        <v>939</v>
      </c>
      <c r="X61" s="29">
        <f t="shared" si="13"/>
        <v>1034</v>
      </c>
      <c r="Y61" s="29">
        <f t="shared" si="14"/>
        <v>1034</v>
      </c>
      <c r="Z61" s="44">
        <f t="shared" si="30"/>
        <v>1084</v>
      </c>
      <c r="AA61" s="44"/>
      <c r="AB61" s="44"/>
      <c r="AC61" s="44"/>
      <c r="AD61" s="44"/>
      <c r="AE61" s="44"/>
      <c r="AF61" s="44"/>
      <c r="AG61" s="44"/>
      <c r="AH61" s="44"/>
      <c r="AI61" s="44"/>
      <c r="AJ61" s="44"/>
      <c r="AK61" s="44"/>
      <c r="AL61" s="44"/>
      <c r="AM61" s="44"/>
      <c r="AN61" s="44"/>
      <c r="AO61" s="44">
        <v>459</v>
      </c>
      <c r="AP61" s="44"/>
      <c r="AQ61" s="44"/>
      <c r="AR61" s="44"/>
      <c r="AS61" s="44"/>
      <c r="AT61" s="44"/>
      <c r="AU61" s="46">
        <f>486-56+145</f>
        <v>575</v>
      </c>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f t="shared" si="5"/>
        <v>50</v>
      </c>
      <c r="CW61" s="44">
        <f t="shared" si="6"/>
        <v>0</v>
      </c>
      <c r="CX61" s="47">
        <f t="shared" si="24"/>
        <v>459</v>
      </c>
      <c r="CY61" s="47">
        <v>0</v>
      </c>
      <c r="CZ61" s="31">
        <f t="shared" si="15"/>
        <v>0</v>
      </c>
      <c r="DA61" s="88" t="s">
        <v>404</v>
      </c>
      <c r="DB61" s="44">
        <v>459</v>
      </c>
      <c r="DC61" s="39"/>
      <c r="DD61" s="40"/>
      <c r="DE61" s="40"/>
      <c r="DF61" s="40"/>
      <c r="DG61" s="49"/>
      <c r="DH61" s="96" t="s">
        <v>528</v>
      </c>
      <c r="DI61" s="1" t="s">
        <v>508</v>
      </c>
      <c r="DJ61" s="2" t="s">
        <v>510</v>
      </c>
      <c r="DK61" s="49">
        <v>459</v>
      </c>
      <c r="DL61" s="71">
        <f t="shared" si="16"/>
        <v>1.2749999999999999</v>
      </c>
      <c r="DM61" s="68">
        <f t="shared" si="8"/>
        <v>34425000</v>
      </c>
      <c r="DN61" s="68">
        <f t="shared" si="9"/>
        <v>103275000</v>
      </c>
      <c r="DO61" s="50">
        <v>0</v>
      </c>
      <c r="DP61" s="33">
        <f t="shared" si="25"/>
        <v>48.881789137380196</v>
      </c>
      <c r="DQ61" s="50">
        <v>6</v>
      </c>
      <c r="DR61" s="69">
        <f t="shared" si="17"/>
        <v>0</v>
      </c>
      <c r="DS61" s="49">
        <v>459</v>
      </c>
      <c r="DT61" s="68">
        <f t="shared" si="18"/>
        <v>13770000</v>
      </c>
      <c r="DU61" s="36">
        <v>459</v>
      </c>
      <c r="DV61" s="68">
        <f t="shared" si="19"/>
        <v>4590000</v>
      </c>
      <c r="DW61" s="69">
        <f t="shared" si="26"/>
        <v>156060000</v>
      </c>
      <c r="DX61" s="33">
        <f t="shared" si="27"/>
        <v>0</v>
      </c>
    </row>
    <row r="62" spans="1:128" s="51" customFormat="1" ht="36.6" customHeight="1">
      <c r="A62" s="40">
        <v>56</v>
      </c>
      <c r="B62" s="41" t="s">
        <v>284</v>
      </c>
      <c r="C62" s="45" t="s">
        <v>285</v>
      </c>
      <c r="D62" s="88" t="s">
        <v>432</v>
      </c>
      <c r="E62" s="43" t="s">
        <v>109</v>
      </c>
      <c r="F62" s="40" t="s">
        <v>104</v>
      </c>
      <c r="G62" s="40">
        <v>1289</v>
      </c>
      <c r="H62" s="40">
        <v>49</v>
      </c>
      <c r="I62" s="44">
        <f>292.3+335</f>
        <v>627.29999999999995</v>
      </c>
      <c r="J62" s="45" t="s">
        <v>286</v>
      </c>
      <c r="K62" s="40">
        <v>2</v>
      </c>
      <c r="L62" s="40">
        <v>4</v>
      </c>
      <c r="M62" s="44">
        <f t="shared" si="0"/>
        <v>1292</v>
      </c>
      <c r="N62" s="44"/>
      <c r="O62" s="44"/>
      <c r="P62" s="44">
        <f t="shared" ref="P62" si="31">Q62*4</f>
        <v>0</v>
      </c>
      <c r="Q62" s="44"/>
      <c r="R62" s="44">
        <f t="shared" si="21"/>
        <v>0</v>
      </c>
      <c r="S62" s="44"/>
      <c r="T62" s="44">
        <f t="shared" si="28"/>
        <v>351</v>
      </c>
      <c r="U62" s="44">
        <v>11</v>
      </c>
      <c r="V62" s="44">
        <f>50+290</f>
        <v>340</v>
      </c>
      <c r="W62" s="44">
        <f t="shared" si="3"/>
        <v>941</v>
      </c>
      <c r="X62" s="29">
        <f t="shared" si="13"/>
        <v>1281</v>
      </c>
      <c r="Y62" s="29">
        <f t="shared" si="14"/>
        <v>1281</v>
      </c>
      <c r="Z62" s="44">
        <f t="shared" si="30"/>
        <v>1281</v>
      </c>
      <c r="AA62" s="44"/>
      <c r="AB62" s="44"/>
      <c r="AC62" s="44"/>
      <c r="AD62" s="44"/>
      <c r="AE62" s="44"/>
      <c r="AF62" s="44"/>
      <c r="AG62" s="44"/>
      <c r="AH62" s="44"/>
      <c r="AI62" s="44"/>
      <c r="AJ62" s="44"/>
      <c r="AK62" s="44"/>
      <c r="AL62" s="44"/>
      <c r="AM62" s="44"/>
      <c r="AN62" s="44"/>
      <c r="AO62" s="44">
        <f>599+290</f>
        <v>889</v>
      </c>
      <c r="AP62" s="44"/>
      <c r="AQ62" s="44"/>
      <c r="AR62" s="44"/>
      <c r="AS62" s="44"/>
      <c r="AT62" s="44"/>
      <c r="AU62" s="46"/>
      <c r="AV62" s="44"/>
      <c r="AW62" s="44"/>
      <c r="AX62" s="44"/>
      <c r="AY62" s="44"/>
      <c r="AZ62" s="44"/>
      <c r="BA62" s="44"/>
      <c r="BB62" s="44"/>
      <c r="BC62" s="44"/>
      <c r="BD62" s="44">
        <v>342</v>
      </c>
      <c r="BE62" s="44"/>
      <c r="BF62" s="44">
        <v>50</v>
      </c>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f t="shared" si="5"/>
        <v>0</v>
      </c>
      <c r="CW62" s="44">
        <f t="shared" si="6"/>
        <v>0</v>
      </c>
      <c r="CX62" s="47">
        <f t="shared" si="24"/>
        <v>627.29999999999995</v>
      </c>
      <c r="CY62" s="47">
        <v>292.3</v>
      </c>
      <c r="CZ62" s="31">
        <f t="shared" si="15"/>
        <v>0</v>
      </c>
      <c r="DA62" s="88" t="s">
        <v>404</v>
      </c>
      <c r="DB62" s="44">
        <v>599</v>
      </c>
      <c r="DC62" s="39"/>
      <c r="DD62" s="40"/>
      <c r="DE62" s="40"/>
      <c r="DF62" s="40"/>
      <c r="DG62" s="49"/>
      <c r="DH62" s="45" t="s">
        <v>432</v>
      </c>
      <c r="DI62" s="1" t="s">
        <v>508</v>
      </c>
      <c r="DJ62" s="2" t="s">
        <v>510</v>
      </c>
      <c r="DK62" s="49">
        <v>335</v>
      </c>
      <c r="DL62" s="71">
        <f t="shared" si="16"/>
        <v>0.93055555555555558</v>
      </c>
      <c r="DM62" s="68">
        <f t="shared" si="8"/>
        <v>25125000</v>
      </c>
      <c r="DN62" s="68">
        <f t="shared" si="9"/>
        <v>75375000</v>
      </c>
      <c r="DO62" s="50">
        <v>2</v>
      </c>
      <c r="DP62" s="33">
        <f t="shared" si="25"/>
        <v>35.600425079702447</v>
      </c>
      <c r="DQ62" s="50">
        <v>6</v>
      </c>
      <c r="DR62" s="69">
        <f t="shared" si="17"/>
        <v>6120000</v>
      </c>
      <c r="DS62" s="49">
        <v>335</v>
      </c>
      <c r="DT62" s="68">
        <f t="shared" si="18"/>
        <v>10050000</v>
      </c>
      <c r="DU62" s="36">
        <f>292.3+335</f>
        <v>627.29999999999995</v>
      </c>
      <c r="DV62" s="68">
        <f t="shared" si="19"/>
        <v>3350000</v>
      </c>
      <c r="DW62" s="69">
        <f t="shared" si="26"/>
        <v>120020000</v>
      </c>
      <c r="DX62" s="33">
        <f t="shared" si="27"/>
        <v>0</v>
      </c>
    </row>
    <row r="63" spans="1:128" s="51" customFormat="1" ht="19.5" customHeight="1">
      <c r="A63" s="40">
        <v>57</v>
      </c>
      <c r="B63" s="41" t="s">
        <v>287</v>
      </c>
      <c r="C63" s="45" t="s">
        <v>288</v>
      </c>
      <c r="D63" s="57" t="s">
        <v>290</v>
      </c>
      <c r="E63" s="43" t="s">
        <v>109</v>
      </c>
      <c r="F63" s="40" t="s">
        <v>104</v>
      </c>
      <c r="G63" s="40">
        <v>1292</v>
      </c>
      <c r="H63" s="40">
        <v>49</v>
      </c>
      <c r="I63" s="44">
        <f>17.6+1709</f>
        <v>1726.6</v>
      </c>
      <c r="J63" s="56" t="s">
        <v>289</v>
      </c>
      <c r="K63" s="40">
        <v>5</v>
      </c>
      <c r="L63" s="40">
        <v>7</v>
      </c>
      <c r="M63" s="44">
        <f>(K63*486)+(L63*80)</f>
        <v>2990</v>
      </c>
      <c r="N63" s="44"/>
      <c r="O63" s="44"/>
      <c r="P63" s="44">
        <f>Q63*4</f>
        <v>0</v>
      </c>
      <c r="Q63" s="44"/>
      <c r="R63" s="44">
        <f>S63*2</f>
        <v>40</v>
      </c>
      <c r="S63" s="44">
        <v>20</v>
      </c>
      <c r="T63" s="44">
        <f>U63+V63</f>
        <v>718</v>
      </c>
      <c r="U63" s="44">
        <v>21</v>
      </c>
      <c r="V63" s="44">
        <v>697</v>
      </c>
      <c r="W63" s="44">
        <f>M63-N63+O63-Q63+P63-S63+R63-T63</f>
        <v>2292</v>
      </c>
      <c r="X63" s="29">
        <f t="shared" si="13"/>
        <v>2949</v>
      </c>
      <c r="Y63" s="29">
        <f t="shared" si="14"/>
        <v>2949</v>
      </c>
      <c r="Z63" s="44">
        <f>SUM(AA63:CW63)</f>
        <v>2989</v>
      </c>
      <c r="AA63" s="44"/>
      <c r="AB63" s="44"/>
      <c r="AC63" s="44"/>
      <c r="AD63" s="44"/>
      <c r="AE63" s="44"/>
      <c r="AF63" s="44"/>
      <c r="AG63" s="44"/>
      <c r="AH63" s="44"/>
      <c r="AI63" s="44"/>
      <c r="AJ63" s="44"/>
      <c r="AK63" s="44"/>
      <c r="AL63" s="44"/>
      <c r="AM63" s="44"/>
      <c r="AN63" s="44"/>
      <c r="AO63" s="44">
        <v>1709</v>
      </c>
      <c r="AP63" s="44"/>
      <c r="AQ63" s="44"/>
      <c r="AR63" s="44"/>
      <c r="AS63" s="44"/>
      <c r="AT63" s="44"/>
      <c r="AU63" s="46"/>
      <c r="AV63" s="44"/>
      <c r="AW63" s="44"/>
      <c r="AX63" s="44"/>
      <c r="AY63" s="44"/>
      <c r="AZ63" s="44"/>
      <c r="BA63" s="44">
        <v>697</v>
      </c>
      <c r="BB63" s="44"/>
      <c r="BC63" s="44">
        <v>296</v>
      </c>
      <c r="BD63" s="44"/>
      <c r="BE63" s="44"/>
      <c r="BF63" s="44"/>
      <c r="BG63" s="44"/>
      <c r="BH63" s="44">
        <v>247</v>
      </c>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f t="shared" si="5"/>
        <v>0</v>
      </c>
      <c r="CW63" s="44">
        <f t="shared" si="6"/>
        <v>40</v>
      </c>
      <c r="CX63" s="47">
        <f t="shared" si="24"/>
        <v>1726.5999999999997</v>
      </c>
      <c r="CY63" s="47">
        <v>17.600000000000001</v>
      </c>
      <c r="CZ63" s="31">
        <f t="shared" si="15"/>
        <v>0</v>
      </c>
      <c r="DA63" s="88" t="s">
        <v>404</v>
      </c>
      <c r="DB63" s="44">
        <v>1709</v>
      </c>
      <c r="DC63" s="39"/>
      <c r="DD63" s="40"/>
      <c r="DE63" s="40"/>
      <c r="DF63" s="40"/>
      <c r="DG63" s="49"/>
      <c r="DH63" s="57" t="s">
        <v>290</v>
      </c>
      <c r="DI63" s="1" t="s">
        <v>508</v>
      </c>
      <c r="DJ63" s="2" t="s">
        <v>510</v>
      </c>
      <c r="DK63" s="49">
        <v>1708.9999999999998</v>
      </c>
      <c r="DL63" s="71">
        <f t="shared" si="16"/>
        <v>4.7472222222222218</v>
      </c>
      <c r="DM63" s="68">
        <f t="shared" si="8"/>
        <v>128175000</v>
      </c>
      <c r="DN63" s="68">
        <f t="shared" si="9"/>
        <v>384525000</v>
      </c>
      <c r="DO63" s="50">
        <v>7</v>
      </c>
      <c r="DP63" s="33">
        <f t="shared" si="25"/>
        <v>74.563699825479929</v>
      </c>
      <c r="DQ63" s="50">
        <v>12</v>
      </c>
      <c r="DR63" s="69">
        <f t="shared" si="17"/>
        <v>42840000</v>
      </c>
      <c r="DS63" s="49">
        <v>1708.9999999999998</v>
      </c>
      <c r="DT63" s="68">
        <f t="shared" si="18"/>
        <v>51270000</v>
      </c>
      <c r="DU63" s="36">
        <f>17.6+1709</f>
        <v>1726.6</v>
      </c>
      <c r="DV63" s="68">
        <f t="shared" si="19"/>
        <v>17090000</v>
      </c>
      <c r="DW63" s="69">
        <f t="shared" si="26"/>
        <v>623900000</v>
      </c>
      <c r="DX63" s="33">
        <f t="shared" si="27"/>
        <v>0</v>
      </c>
    </row>
    <row r="64" spans="1:128" s="51" customFormat="1" ht="23.25" customHeight="1">
      <c r="A64" s="40">
        <v>58</v>
      </c>
      <c r="B64" s="41" t="s">
        <v>291</v>
      </c>
      <c r="C64" s="56" t="s">
        <v>292</v>
      </c>
      <c r="D64" s="57" t="s">
        <v>292</v>
      </c>
      <c r="E64" s="43" t="s">
        <v>109</v>
      </c>
      <c r="F64" s="40" t="s">
        <v>104</v>
      </c>
      <c r="G64" s="40">
        <v>1293</v>
      </c>
      <c r="H64" s="40">
        <v>49</v>
      </c>
      <c r="I64" s="44">
        <v>1082</v>
      </c>
      <c r="J64" s="56" t="s">
        <v>292</v>
      </c>
      <c r="K64" s="40">
        <v>2</v>
      </c>
      <c r="L64" s="40">
        <v>2</v>
      </c>
      <c r="M64" s="44">
        <f>(K64*486)+(L64*80)</f>
        <v>1132</v>
      </c>
      <c r="N64" s="44"/>
      <c r="O64" s="44"/>
      <c r="P64" s="44">
        <f>Q64*4</f>
        <v>150</v>
      </c>
      <c r="Q64" s="44">
        <v>37.5</v>
      </c>
      <c r="R64" s="44">
        <f>S64*2</f>
        <v>0</v>
      </c>
      <c r="S64" s="44"/>
      <c r="T64" s="44">
        <f>U64+V64</f>
        <v>13</v>
      </c>
      <c r="U64" s="44">
        <v>13</v>
      </c>
      <c r="V64" s="44"/>
      <c r="W64" s="44">
        <f>M64-N64+O64-Q64+P64-S64+R64-T64</f>
        <v>1231.5</v>
      </c>
      <c r="X64" s="29">
        <f t="shared" si="13"/>
        <v>1081.5</v>
      </c>
      <c r="Y64" s="29">
        <f t="shared" si="14"/>
        <v>1081.5</v>
      </c>
      <c r="Z64" s="44">
        <f>SUM(AA64:CW64)</f>
        <v>1231.5</v>
      </c>
      <c r="AA64" s="44"/>
      <c r="AB64" s="44"/>
      <c r="AC64" s="44"/>
      <c r="AD64" s="44"/>
      <c r="AE64" s="44"/>
      <c r="AF64" s="44"/>
      <c r="AG64" s="44"/>
      <c r="AH64" s="44"/>
      <c r="AI64" s="44"/>
      <c r="AJ64" s="44"/>
      <c r="AK64" s="44"/>
      <c r="AL64" s="44"/>
      <c r="AM64" s="44"/>
      <c r="AN64" s="44"/>
      <c r="AO64" s="44">
        <v>1081.5</v>
      </c>
      <c r="AP64" s="44"/>
      <c r="AQ64" s="44"/>
      <c r="AR64" s="44"/>
      <c r="AS64" s="44"/>
      <c r="AT64" s="44"/>
      <c r="AU64" s="46"/>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f t="shared" si="5"/>
        <v>150</v>
      </c>
      <c r="CW64" s="44">
        <f t="shared" si="6"/>
        <v>0</v>
      </c>
      <c r="CX64" s="47">
        <f t="shared" si="24"/>
        <v>1082</v>
      </c>
      <c r="CY64" s="47">
        <v>0</v>
      </c>
      <c r="CZ64" s="31">
        <f t="shared" si="15"/>
        <v>0</v>
      </c>
      <c r="DA64" s="88" t="s">
        <v>404</v>
      </c>
      <c r="DB64" s="44">
        <v>1081.5</v>
      </c>
      <c r="DC64" s="39"/>
      <c r="DD64" s="40"/>
      <c r="DE64" s="40"/>
      <c r="DF64" s="40"/>
      <c r="DG64" s="49"/>
      <c r="DH64" s="57" t="s">
        <v>292</v>
      </c>
      <c r="DI64" s="1" t="s">
        <v>508</v>
      </c>
      <c r="DJ64" s="2" t="s">
        <v>510</v>
      </c>
      <c r="DK64" s="49">
        <v>1082</v>
      </c>
      <c r="DL64" s="71">
        <f t="shared" si="16"/>
        <v>3.0055555555555555</v>
      </c>
      <c r="DM64" s="68">
        <f t="shared" si="8"/>
        <v>81150000</v>
      </c>
      <c r="DN64" s="68">
        <f t="shared" si="9"/>
        <v>243450000</v>
      </c>
      <c r="DO64" s="50">
        <v>2</v>
      </c>
      <c r="DP64" s="33">
        <f t="shared" si="25"/>
        <v>87.860332927324407</v>
      </c>
      <c r="DQ64" s="50">
        <v>12</v>
      </c>
      <c r="DR64" s="69">
        <f t="shared" si="17"/>
        <v>12240000</v>
      </c>
      <c r="DS64" s="49">
        <v>1082</v>
      </c>
      <c r="DT64" s="68">
        <f t="shared" si="18"/>
        <v>32460000</v>
      </c>
      <c r="DU64" s="36">
        <v>1082</v>
      </c>
      <c r="DV64" s="68">
        <f t="shared" si="19"/>
        <v>10820000</v>
      </c>
      <c r="DW64" s="69">
        <f t="shared" si="26"/>
        <v>380120000</v>
      </c>
      <c r="DX64" s="33">
        <f t="shared" si="27"/>
        <v>0</v>
      </c>
    </row>
    <row r="65" spans="1:128" s="58" customFormat="1" ht="102.75" customHeight="1">
      <c r="A65" s="40">
        <v>59</v>
      </c>
      <c r="B65" s="41" t="s">
        <v>293</v>
      </c>
      <c r="C65" s="45" t="s">
        <v>294</v>
      </c>
      <c r="D65" s="88" t="s">
        <v>433</v>
      </c>
      <c r="E65" s="43" t="s">
        <v>153</v>
      </c>
      <c r="F65" s="40" t="s">
        <v>104</v>
      </c>
      <c r="G65" s="40">
        <v>1296</v>
      </c>
      <c r="H65" s="40">
        <v>49</v>
      </c>
      <c r="I65" s="44">
        <v>1012</v>
      </c>
      <c r="J65" s="45" t="s">
        <v>295</v>
      </c>
      <c r="K65" s="40">
        <v>3</v>
      </c>
      <c r="L65" s="40">
        <v>2</v>
      </c>
      <c r="M65" s="44">
        <f t="shared" si="0"/>
        <v>1618</v>
      </c>
      <c r="N65" s="44"/>
      <c r="O65" s="44"/>
      <c r="P65" s="44">
        <f t="shared" si="29"/>
        <v>0</v>
      </c>
      <c r="Q65" s="44"/>
      <c r="R65" s="44">
        <f t="shared" si="21"/>
        <v>5</v>
      </c>
      <c r="S65" s="44">
        <v>2.5</v>
      </c>
      <c r="T65" s="44">
        <f t="shared" si="28"/>
        <v>264</v>
      </c>
      <c r="U65" s="44">
        <v>14</v>
      </c>
      <c r="V65" s="44">
        <v>250</v>
      </c>
      <c r="W65" s="44">
        <f t="shared" si="3"/>
        <v>1356.5</v>
      </c>
      <c r="X65" s="29">
        <f t="shared" si="13"/>
        <v>1601.5</v>
      </c>
      <c r="Y65" s="29">
        <f t="shared" si="14"/>
        <v>1601.5</v>
      </c>
      <c r="Z65" s="44">
        <f t="shared" si="30"/>
        <v>1606.5</v>
      </c>
      <c r="AA65" s="44"/>
      <c r="AB65" s="44"/>
      <c r="AC65" s="44"/>
      <c r="AD65" s="44"/>
      <c r="AE65" s="44"/>
      <c r="AF65" s="44"/>
      <c r="AG65" s="44"/>
      <c r="AH65" s="44"/>
      <c r="AI65" s="44"/>
      <c r="AJ65" s="44"/>
      <c r="AK65" s="44"/>
      <c r="AL65" s="44"/>
      <c r="AM65" s="44"/>
      <c r="AN65" s="44"/>
      <c r="AO65" s="44">
        <v>1012</v>
      </c>
      <c r="AP65" s="44"/>
      <c r="AQ65" s="44"/>
      <c r="AR65" s="44"/>
      <c r="AS65" s="44"/>
      <c r="AT65" s="44"/>
      <c r="AU65" s="46"/>
      <c r="AV65" s="44"/>
      <c r="AW65" s="44"/>
      <c r="AX65" s="44"/>
      <c r="AY65" s="44"/>
      <c r="AZ65" s="44"/>
      <c r="BA65" s="44"/>
      <c r="BB65" s="44"/>
      <c r="BC65" s="44">
        <v>339.5</v>
      </c>
      <c r="BD65" s="44"/>
      <c r="BE65" s="44"/>
      <c r="BF65" s="44">
        <v>250</v>
      </c>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f t="shared" si="5"/>
        <v>0</v>
      </c>
      <c r="CW65" s="44">
        <f t="shared" si="6"/>
        <v>5</v>
      </c>
      <c r="CX65" s="47">
        <f t="shared" si="24"/>
        <v>1012</v>
      </c>
      <c r="CY65" s="47">
        <v>0</v>
      </c>
      <c r="CZ65" s="31">
        <f t="shared" si="15"/>
        <v>0</v>
      </c>
      <c r="DA65" s="88" t="s">
        <v>404</v>
      </c>
      <c r="DB65" s="44">
        <v>1012</v>
      </c>
      <c r="DC65" s="39"/>
      <c r="DD65" s="40"/>
      <c r="DE65" s="40"/>
      <c r="DF65" s="40"/>
      <c r="DG65" s="49"/>
      <c r="DH65" s="45" t="s">
        <v>530</v>
      </c>
      <c r="DI65" s="1" t="s">
        <v>508</v>
      </c>
      <c r="DJ65" s="2" t="s">
        <v>510</v>
      </c>
      <c r="DK65" s="49">
        <v>1012</v>
      </c>
      <c r="DL65" s="71">
        <f t="shared" si="16"/>
        <v>2.8111111111111109</v>
      </c>
      <c r="DM65" s="68">
        <f t="shared" si="8"/>
        <v>75900000</v>
      </c>
      <c r="DN65" s="68">
        <f t="shared" si="9"/>
        <v>227700000</v>
      </c>
      <c r="DO65" s="50">
        <v>1</v>
      </c>
      <c r="DP65" s="33">
        <f t="shared" si="25"/>
        <v>74.603759675635828</v>
      </c>
      <c r="DQ65" s="50">
        <v>12</v>
      </c>
      <c r="DR65" s="69">
        <f t="shared" si="17"/>
        <v>6120000</v>
      </c>
      <c r="DS65" s="49">
        <v>1012</v>
      </c>
      <c r="DT65" s="68">
        <f t="shared" si="18"/>
        <v>30360000</v>
      </c>
      <c r="DU65" s="36">
        <v>1012</v>
      </c>
      <c r="DV65" s="68">
        <f t="shared" si="19"/>
        <v>10120000</v>
      </c>
      <c r="DW65" s="69">
        <f t="shared" si="26"/>
        <v>350200000</v>
      </c>
      <c r="DX65" s="33">
        <f t="shared" si="27"/>
        <v>0</v>
      </c>
    </row>
    <row r="66" spans="1:128" s="51" customFormat="1" ht="32.25" customHeight="1">
      <c r="A66" s="40">
        <v>60</v>
      </c>
      <c r="B66" s="41" t="s">
        <v>296</v>
      </c>
      <c r="C66" s="39" t="s">
        <v>297</v>
      </c>
      <c r="D66" s="39" t="s">
        <v>466</v>
      </c>
      <c r="E66" s="43" t="s">
        <v>109</v>
      </c>
      <c r="F66" s="40" t="s">
        <v>104</v>
      </c>
      <c r="G66" s="40">
        <v>1297</v>
      </c>
      <c r="H66" s="40">
        <v>49</v>
      </c>
      <c r="I66" s="44">
        <f>12.1+966</f>
        <v>978.1</v>
      </c>
      <c r="J66" s="56" t="s">
        <v>298</v>
      </c>
      <c r="K66" s="40">
        <v>2</v>
      </c>
      <c r="L66" s="40">
        <v>3</v>
      </c>
      <c r="M66" s="44">
        <f t="shared" si="0"/>
        <v>1212</v>
      </c>
      <c r="N66" s="44"/>
      <c r="O66" s="44"/>
      <c r="P66" s="44">
        <f t="shared" si="29"/>
        <v>0</v>
      </c>
      <c r="Q66" s="44"/>
      <c r="R66" s="44">
        <f t="shared" si="21"/>
        <v>0</v>
      </c>
      <c r="S66" s="44"/>
      <c r="T66" s="44">
        <f t="shared" si="28"/>
        <v>13</v>
      </c>
      <c r="U66" s="44">
        <v>13</v>
      </c>
      <c r="V66" s="44"/>
      <c r="W66" s="44">
        <f t="shared" si="3"/>
        <v>1199</v>
      </c>
      <c r="X66" s="29">
        <f t="shared" si="13"/>
        <v>1199</v>
      </c>
      <c r="Y66" s="29">
        <f t="shared" si="14"/>
        <v>1199</v>
      </c>
      <c r="Z66" s="44">
        <f t="shared" si="30"/>
        <v>1199</v>
      </c>
      <c r="AA66" s="44"/>
      <c r="AB66" s="44"/>
      <c r="AC66" s="44"/>
      <c r="AD66" s="44"/>
      <c r="AE66" s="44"/>
      <c r="AF66" s="44"/>
      <c r="AG66" s="44"/>
      <c r="AH66" s="44"/>
      <c r="AI66" s="44"/>
      <c r="AJ66" s="44"/>
      <c r="AK66" s="44"/>
      <c r="AL66" s="44"/>
      <c r="AM66" s="44"/>
      <c r="AN66" s="44"/>
      <c r="AO66" s="44">
        <v>968</v>
      </c>
      <c r="AP66" s="44"/>
      <c r="AQ66" s="44"/>
      <c r="AR66" s="44"/>
      <c r="AS66" s="44"/>
      <c r="AT66" s="44"/>
      <c r="AU66" s="46"/>
      <c r="AV66" s="44"/>
      <c r="AW66" s="44"/>
      <c r="AX66" s="44"/>
      <c r="AY66" s="44"/>
      <c r="AZ66" s="44"/>
      <c r="BA66" s="44"/>
      <c r="BB66" s="44"/>
      <c r="BC66" s="44">
        <v>231</v>
      </c>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f t="shared" si="5"/>
        <v>0</v>
      </c>
      <c r="CW66" s="44">
        <f t="shared" si="6"/>
        <v>0</v>
      </c>
      <c r="CX66" s="47">
        <f t="shared" si="24"/>
        <v>978.1</v>
      </c>
      <c r="CY66" s="47">
        <v>10.1</v>
      </c>
      <c r="CZ66" s="31">
        <f t="shared" si="15"/>
        <v>0</v>
      </c>
      <c r="DA66" s="88" t="s">
        <v>404</v>
      </c>
      <c r="DB66" s="44">
        <v>968</v>
      </c>
      <c r="DC66" s="39"/>
      <c r="DD66" s="40"/>
      <c r="DE66" s="40"/>
      <c r="DF66" s="40"/>
      <c r="DG66" s="49"/>
      <c r="DH66" s="39" t="s">
        <v>466</v>
      </c>
      <c r="DI66" s="1" t="s">
        <v>508</v>
      </c>
      <c r="DJ66" s="2" t="s">
        <v>510</v>
      </c>
      <c r="DK66" s="49">
        <v>968</v>
      </c>
      <c r="DL66" s="71">
        <f t="shared" si="16"/>
        <v>2.6888888888888891</v>
      </c>
      <c r="DM66" s="68">
        <f t="shared" si="8"/>
        <v>72600000</v>
      </c>
      <c r="DN66" s="68">
        <f t="shared" si="9"/>
        <v>217800000</v>
      </c>
      <c r="DO66" s="50">
        <v>4</v>
      </c>
      <c r="DP66" s="33">
        <f t="shared" si="25"/>
        <v>80.733944954128447</v>
      </c>
      <c r="DQ66" s="50">
        <v>12</v>
      </c>
      <c r="DR66" s="69">
        <f t="shared" si="17"/>
        <v>24480000</v>
      </c>
      <c r="DS66" s="49">
        <v>968</v>
      </c>
      <c r="DT66" s="68">
        <f t="shared" si="18"/>
        <v>29040000</v>
      </c>
      <c r="DU66" s="36">
        <f>12.1+966</f>
        <v>978.1</v>
      </c>
      <c r="DV66" s="68">
        <f t="shared" si="19"/>
        <v>9680000</v>
      </c>
      <c r="DW66" s="69">
        <f t="shared" si="26"/>
        <v>353600000</v>
      </c>
      <c r="DX66" s="33">
        <f t="shared" si="27"/>
        <v>0</v>
      </c>
    </row>
    <row r="67" spans="1:128" s="51" customFormat="1" ht="30" customHeight="1">
      <c r="A67" s="40">
        <v>61</v>
      </c>
      <c r="B67" s="41" t="s">
        <v>299</v>
      </c>
      <c r="C67" s="39" t="s">
        <v>300</v>
      </c>
      <c r="D67" s="39" t="s">
        <v>467</v>
      </c>
      <c r="E67" s="43" t="s">
        <v>109</v>
      </c>
      <c r="F67" s="40" t="s">
        <v>104</v>
      </c>
      <c r="G67" s="40">
        <v>1298</v>
      </c>
      <c r="H67" s="40">
        <v>49</v>
      </c>
      <c r="I67" s="44">
        <f>13.6+367</f>
        <v>380.6</v>
      </c>
      <c r="J67" s="56" t="s">
        <v>301</v>
      </c>
      <c r="K67" s="40">
        <v>1</v>
      </c>
      <c r="L67" s="40">
        <v>2</v>
      </c>
      <c r="M67" s="44">
        <f t="shared" si="0"/>
        <v>646</v>
      </c>
      <c r="N67" s="44"/>
      <c r="O67" s="44"/>
      <c r="P67" s="44">
        <f t="shared" si="29"/>
        <v>0</v>
      </c>
      <c r="Q67" s="44"/>
      <c r="R67" s="44">
        <f t="shared" si="21"/>
        <v>0</v>
      </c>
      <c r="S67" s="44"/>
      <c r="T67" s="44">
        <f t="shared" si="28"/>
        <v>279</v>
      </c>
      <c r="U67" s="44">
        <v>5</v>
      </c>
      <c r="V67" s="44">
        <v>274</v>
      </c>
      <c r="W67" s="44">
        <f t="shared" si="3"/>
        <v>367</v>
      </c>
      <c r="X67" s="29">
        <f t="shared" si="13"/>
        <v>641</v>
      </c>
      <c r="Y67" s="29">
        <f t="shared" si="14"/>
        <v>641</v>
      </c>
      <c r="Z67" s="44">
        <f t="shared" si="30"/>
        <v>641</v>
      </c>
      <c r="AA67" s="44"/>
      <c r="AB67" s="44"/>
      <c r="AC67" s="44"/>
      <c r="AD67" s="44"/>
      <c r="AE67" s="44"/>
      <c r="AF67" s="44"/>
      <c r="AG67" s="44"/>
      <c r="AH67" s="44"/>
      <c r="AI67" s="44"/>
      <c r="AJ67" s="44"/>
      <c r="AK67" s="44"/>
      <c r="AL67" s="44"/>
      <c r="AM67" s="44"/>
      <c r="AN67" s="44"/>
      <c r="AO67" s="44">
        <v>367</v>
      </c>
      <c r="AP67" s="44"/>
      <c r="AQ67" s="44"/>
      <c r="AR67" s="44"/>
      <c r="AS67" s="44"/>
      <c r="AT67" s="44"/>
      <c r="AU67" s="46"/>
      <c r="AV67" s="44"/>
      <c r="AW67" s="44"/>
      <c r="AX67" s="44"/>
      <c r="AY67" s="44"/>
      <c r="AZ67" s="44"/>
      <c r="BA67" s="44"/>
      <c r="BB67" s="44"/>
      <c r="BC67" s="44">
        <v>274</v>
      </c>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f t="shared" si="5"/>
        <v>0</v>
      </c>
      <c r="CW67" s="44">
        <f t="shared" si="6"/>
        <v>0</v>
      </c>
      <c r="CX67" s="47">
        <f t="shared" si="24"/>
        <v>380.6</v>
      </c>
      <c r="CY67" s="47">
        <v>13.6</v>
      </c>
      <c r="CZ67" s="31">
        <f t="shared" si="15"/>
        <v>0</v>
      </c>
      <c r="DA67" s="88" t="s">
        <v>404</v>
      </c>
      <c r="DB67" s="44">
        <v>367</v>
      </c>
      <c r="DC67" s="39"/>
      <c r="DD67" s="40"/>
      <c r="DE67" s="40"/>
      <c r="DF67" s="40"/>
      <c r="DG67" s="49"/>
      <c r="DH67" s="39" t="s">
        <v>467</v>
      </c>
      <c r="DI67" s="1" t="s">
        <v>508</v>
      </c>
      <c r="DJ67" s="2" t="s">
        <v>510</v>
      </c>
      <c r="DK67" s="49">
        <v>367</v>
      </c>
      <c r="DL67" s="71">
        <f t="shared" si="16"/>
        <v>1.0194444444444444</v>
      </c>
      <c r="DM67" s="68">
        <f t="shared" si="8"/>
        <v>27525000</v>
      </c>
      <c r="DN67" s="68">
        <f t="shared" si="9"/>
        <v>82575000</v>
      </c>
      <c r="DO67" s="50">
        <v>3</v>
      </c>
      <c r="DP67" s="33">
        <f t="shared" si="25"/>
        <v>100</v>
      </c>
      <c r="DQ67" s="50">
        <v>12</v>
      </c>
      <c r="DR67" s="69">
        <f t="shared" si="17"/>
        <v>18360000</v>
      </c>
      <c r="DS67" s="49">
        <v>367</v>
      </c>
      <c r="DT67" s="68">
        <f t="shared" si="18"/>
        <v>11010000</v>
      </c>
      <c r="DU67" s="36">
        <f>13.6+367</f>
        <v>380.6</v>
      </c>
      <c r="DV67" s="68">
        <f t="shared" si="19"/>
        <v>3670000</v>
      </c>
      <c r="DW67" s="69">
        <f t="shared" si="26"/>
        <v>143140000</v>
      </c>
      <c r="DX67" s="33">
        <f t="shared" si="27"/>
        <v>0</v>
      </c>
    </row>
    <row r="68" spans="1:128" s="51" customFormat="1" ht="36.6" customHeight="1">
      <c r="A68" s="40">
        <v>62</v>
      </c>
      <c r="B68" s="41" t="s">
        <v>302</v>
      </c>
      <c r="C68" s="39" t="s">
        <v>303</v>
      </c>
      <c r="D68" s="39" t="s">
        <v>468</v>
      </c>
      <c r="E68" s="43" t="s">
        <v>109</v>
      </c>
      <c r="F68" s="40" t="s">
        <v>104</v>
      </c>
      <c r="G68" s="40">
        <v>1300</v>
      </c>
      <c r="H68" s="40">
        <v>49</v>
      </c>
      <c r="I68" s="44">
        <f>23.4+929</f>
        <v>952.4</v>
      </c>
      <c r="J68" s="56" t="s">
        <v>304</v>
      </c>
      <c r="K68" s="40">
        <v>2</v>
      </c>
      <c r="L68" s="40">
        <v>0</v>
      </c>
      <c r="M68" s="44">
        <f t="shared" si="0"/>
        <v>972</v>
      </c>
      <c r="N68" s="44"/>
      <c r="O68" s="44"/>
      <c r="P68" s="44">
        <f t="shared" si="29"/>
        <v>0</v>
      </c>
      <c r="Q68" s="44"/>
      <c r="R68" s="44">
        <f t="shared" si="21"/>
        <v>0</v>
      </c>
      <c r="S68" s="44"/>
      <c r="T68" s="44">
        <f t="shared" si="28"/>
        <v>12</v>
      </c>
      <c r="U68" s="44">
        <v>12</v>
      </c>
      <c r="V68" s="44"/>
      <c r="W68" s="44">
        <f t="shared" si="3"/>
        <v>960</v>
      </c>
      <c r="X68" s="29">
        <f t="shared" si="13"/>
        <v>960</v>
      </c>
      <c r="Y68" s="29">
        <f t="shared" si="14"/>
        <v>960</v>
      </c>
      <c r="Z68" s="44">
        <f t="shared" si="30"/>
        <v>960</v>
      </c>
      <c r="AA68" s="44"/>
      <c r="AB68" s="44"/>
      <c r="AC68" s="44"/>
      <c r="AD68" s="44"/>
      <c r="AE68" s="44"/>
      <c r="AF68" s="44"/>
      <c r="AG68" s="44"/>
      <c r="AH68" s="44"/>
      <c r="AI68" s="44"/>
      <c r="AJ68" s="44"/>
      <c r="AK68" s="44"/>
      <c r="AL68" s="44"/>
      <c r="AM68" s="44"/>
      <c r="AN68" s="44"/>
      <c r="AO68" s="44">
        <v>929</v>
      </c>
      <c r="AP68" s="44"/>
      <c r="AQ68" s="44"/>
      <c r="AR68" s="44"/>
      <c r="AS68" s="44"/>
      <c r="AT68" s="44"/>
      <c r="AU68" s="46"/>
      <c r="AV68" s="44"/>
      <c r="AW68" s="44"/>
      <c r="AX68" s="44"/>
      <c r="AY68" s="44"/>
      <c r="AZ68" s="44"/>
      <c r="BA68" s="44"/>
      <c r="BB68" s="44"/>
      <c r="BC68" s="44">
        <v>31</v>
      </c>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f t="shared" si="5"/>
        <v>0</v>
      </c>
      <c r="CW68" s="44">
        <f t="shared" si="6"/>
        <v>0</v>
      </c>
      <c r="CX68" s="47">
        <f t="shared" si="24"/>
        <v>952.40000000000009</v>
      </c>
      <c r="CY68" s="47">
        <v>23.4</v>
      </c>
      <c r="CZ68" s="31">
        <f t="shared" si="15"/>
        <v>0</v>
      </c>
      <c r="DA68" s="88" t="s">
        <v>404</v>
      </c>
      <c r="DB68" s="44">
        <v>929</v>
      </c>
      <c r="DC68" s="39"/>
      <c r="DD68" s="40"/>
      <c r="DE68" s="40"/>
      <c r="DF68" s="40"/>
      <c r="DG68" s="49"/>
      <c r="DH68" s="39" t="s">
        <v>468</v>
      </c>
      <c r="DI68" s="1" t="s">
        <v>508</v>
      </c>
      <c r="DJ68" s="2" t="s">
        <v>510</v>
      </c>
      <c r="DK68" s="49">
        <v>929.00000000000011</v>
      </c>
      <c r="DL68" s="71">
        <f t="shared" si="16"/>
        <v>2.5805555555555557</v>
      </c>
      <c r="DM68" s="68">
        <f t="shared" si="8"/>
        <v>69675000</v>
      </c>
      <c r="DN68" s="68">
        <f t="shared" si="9"/>
        <v>209025000</v>
      </c>
      <c r="DO68" s="50">
        <v>2</v>
      </c>
      <c r="DP68" s="33">
        <f t="shared" si="25"/>
        <v>96.770833333333357</v>
      </c>
      <c r="DQ68" s="50">
        <v>12</v>
      </c>
      <c r="DR68" s="69">
        <f t="shared" si="17"/>
        <v>12240000</v>
      </c>
      <c r="DS68" s="49">
        <v>929.00000000000011</v>
      </c>
      <c r="DT68" s="68">
        <f t="shared" si="18"/>
        <v>27870000</v>
      </c>
      <c r="DU68" s="36">
        <f>23.4+929</f>
        <v>952.4</v>
      </c>
      <c r="DV68" s="68">
        <f t="shared" si="19"/>
        <v>9290000</v>
      </c>
      <c r="DW68" s="69">
        <f t="shared" si="26"/>
        <v>328100000</v>
      </c>
      <c r="DX68" s="33">
        <f t="shared" si="27"/>
        <v>0</v>
      </c>
    </row>
    <row r="69" spans="1:128" s="51" customFormat="1" ht="33" customHeight="1">
      <c r="A69" s="40">
        <v>63</v>
      </c>
      <c r="B69" s="41" t="s">
        <v>305</v>
      </c>
      <c r="C69" s="45" t="s">
        <v>306</v>
      </c>
      <c r="D69" s="88" t="s">
        <v>434</v>
      </c>
      <c r="E69" s="43" t="s">
        <v>109</v>
      </c>
      <c r="F69" s="40" t="s">
        <v>104</v>
      </c>
      <c r="G69" s="40">
        <v>1301</v>
      </c>
      <c r="H69" s="40">
        <v>49</v>
      </c>
      <c r="I69" s="44">
        <f>30.2+1436</f>
        <v>1466.2</v>
      </c>
      <c r="J69" s="45" t="s">
        <v>307</v>
      </c>
      <c r="K69" s="40">
        <v>3</v>
      </c>
      <c r="L69" s="40">
        <v>4</v>
      </c>
      <c r="M69" s="44">
        <f t="shared" si="0"/>
        <v>1778</v>
      </c>
      <c r="N69" s="44"/>
      <c r="O69" s="44"/>
      <c r="P69" s="44">
        <f t="shared" si="29"/>
        <v>0</v>
      </c>
      <c r="Q69" s="44"/>
      <c r="R69" s="44">
        <f t="shared" si="21"/>
        <v>0</v>
      </c>
      <c r="S69" s="44"/>
      <c r="T69" s="44">
        <f t="shared" si="28"/>
        <v>18</v>
      </c>
      <c r="U69" s="44">
        <v>18</v>
      </c>
      <c r="V69" s="44"/>
      <c r="W69" s="44">
        <f t="shared" si="3"/>
        <v>1760</v>
      </c>
      <c r="X69" s="29">
        <f t="shared" si="13"/>
        <v>1760</v>
      </c>
      <c r="Y69" s="29">
        <f t="shared" si="14"/>
        <v>1760</v>
      </c>
      <c r="Z69" s="44">
        <f t="shared" si="30"/>
        <v>1760</v>
      </c>
      <c r="AA69" s="44"/>
      <c r="AB69" s="44"/>
      <c r="AC69" s="44"/>
      <c r="AD69" s="44"/>
      <c r="AE69" s="44"/>
      <c r="AF69" s="44"/>
      <c r="AG69" s="44"/>
      <c r="AH69" s="44"/>
      <c r="AI69" s="44"/>
      <c r="AJ69" s="44"/>
      <c r="AK69" s="44"/>
      <c r="AL69" s="44"/>
      <c r="AM69" s="44"/>
      <c r="AN69" s="44">
        <v>1436</v>
      </c>
      <c r="AO69" s="44"/>
      <c r="AP69" s="44"/>
      <c r="AQ69" s="44"/>
      <c r="AR69" s="44"/>
      <c r="AS69" s="44"/>
      <c r="AT69" s="44"/>
      <c r="AU69" s="46"/>
      <c r="AV69" s="44"/>
      <c r="AW69" s="44"/>
      <c r="AX69" s="44"/>
      <c r="AY69" s="44"/>
      <c r="AZ69" s="44"/>
      <c r="BA69" s="44"/>
      <c r="BB69" s="44"/>
      <c r="BC69" s="44"/>
      <c r="BD69" s="44">
        <v>324</v>
      </c>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f t="shared" si="5"/>
        <v>0</v>
      </c>
      <c r="CW69" s="44">
        <f t="shared" si="6"/>
        <v>0</v>
      </c>
      <c r="CX69" s="47">
        <f t="shared" si="24"/>
        <v>1466.2</v>
      </c>
      <c r="CY69" s="47">
        <v>30.2</v>
      </c>
      <c r="CZ69" s="31">
        <f t="shared" si="15"/>
        <v>0</v>
      </c>
      <c r="DA69" s="88" t="s">
        <v>404</v>
      </c>
      <c r="DB69" s="44">
        <v>1436</v>
      </c>
      <c r="DC69" s="39"/>
      <c r="DD69" s="40"/>
      <c r="DE69" s="40"/>
      <c r="DF69" s="40"/>
      <c r="DG69" s="49"/>
      <c r="DH69" s="45" t="s">
        <v>521</v>
      </c>
      <c r="DI69" s="1" t="s">
        <v>508</v>
      </c>
      <c r="DJ69" s="2" t="s">
        <v>510</v>
      </c>
      <c r="DK69" s="49">
        <v>1436</v>
      </c>
      <c r="DL69" s="71">
        <f t="shared" si="16"/>
        <v>3.9888888888888889</v>
      </c>
      <c r="DM69" s="68">
        <f t="shared" si="8"/>
        <v>107700000</v>
      </c>
      <c r="DN69" s="68">
        <f t="shared" si="9"/>
        <v>323100000</v>
      </c>
      <c r="DO69" s="50">
        <v>3</v>
      </c>
      <c r="DP69" s="33">
        <f t="shared" si="25"/>
        <v>81.590909090909093</v>
      </c>
      <c r="DQ69" s="50">
        <v>12</v>
      </c>
      <c r="DR69" s="69">
        <f t="shared" si="17"/>
        <v>18360000</v>
      </c>
      <c r="DS69" s="49">
        <v>1436</v>
      </c>
      <c r="DT69" s="68">
        <f t="shared" si="18"/>
        <v>43080000</v>
      </c>
      <c r="DU69" s="36">
        <f>30.2+1436</f>
        <v>1466.2</v>
      </c>
      <c r="DV69" s="68">
        <f t="shared" si="19"/>
        <v>14360000</v>
      </c>
      <c r="DW69" s="69">
        <f t="shared" si="26"/>
        <v>506600000</v>
      </c>
      <c r="DX69" s="33">
        <f t="shared" si="27"/>
        <v>0</v>
      </c>
    </row>
    <row r="70" spans="1:128" s="51" customFormat="1" ht="36" customHeight="1">
      <c r="A70" s="40">
        <v>64</v>
      </c>
      <c r="B70" s="41" t="s">
        <v>308</v>
      </c>
      <c r="C70" s="39" t="s">
        <v>309</v>
      </c>
      <c r="D70" s="88" t="s">
        <v>491</v>
      </c>
      <c r="E70" s="43" t="s">
        <v>109</v>
      </c>
      <c r="F70" s="43" t="s">
        <v>104</v>
      </c>
      <c r="G70" s="40">
        <v>1305</v>
      </c>
      <c r="H70" s="40">
        <v>49</v>
      </c>
      <c r="I70" s="44">
        <f>3+606</f>
        <v>609</v>
      </c>
      <c r="J70" s="52" t="s">
        <v>310</v>
      </c>
      <c r="K70" s="40">
        <v>2</v>
      </c>
      <c r="L70" s="40">
        <v>2</v>
      </c>
      <c r="M70" s="44">
        <f>(K70*486)+(L70*80)</f>
        <v>1132</v>
      </c>
      <c r="N70" s="44"/>
      <c r="O70" s="44"/>
      <c r="P70" s="44">
        <f>Q70*4</f>
        <v>0</v>
      </c>
      <c r="Q70" s="44"/>
      <c r="R70" s="44">
        <f>S70*2</f>
        <v>0</v>
      </c>
      <c r="S70" s="44"/>
      <c r="T70" s="44">
        <f>U70+V70</f>
        <v>526</v>
      </c>
      <c r="U70" s="44">
        <v>8</v>
      </c>
      <c r="V70" s="44">
        <f>370+148</f>
        <v>518</v>
      </c>
      <c r="W70" s="44">
        <f>M70-N70+O70-Q70+P70-S70+R70-T70</f>
        <v>606</v>
      </c>
      <c r="X70" s="29">
        <f t="shared" si="13"/>
        <v>1124</v>
      </c>
      <c r="Y70" s="29">
        <f t="shared" si="14"/>
        <v>1124</v>
      </c>
      <c r="Z70" s="44">
        <f>SUM(AA70:CW70)</f>
        <v>1124</v>
      </c>
      <c r="AA70" s="44"/>
      <c r="AB70" s="44"/>
      <c r="AC70" s="44"/>
      <c r="AD70" s="44"/>
      <c r="AE70" s="44"/>
      <c r="AF70" s="44"/>
      <c r="AG70" s="44"/>
      <c r="AH70" s="44"/>
      <c r="AI70" s="44"/>
      <c r="AJ70" s="44"/>
      <c r="AK70" s="44"/>
      <c r="AL70" s="44"/>
      <c r="AM70" s="44"/>
      <c r="AN70" s="44"/>
      <c r="AO70" s="44">
        <v>606</v>
      </c>
      <c r="AP70" s="44"/>
      <c r="AQ70" s="44"/>
      <c r="AR70" s="44"/>
      <c r="AS70" s="44"/>
      <c r="AT70" s="44"/>
      <c r="AU70" s="46"/>
      <c r="AV70" s="44"/>
      <c r="AW70" s="44"/>
      <c r="AX70" s="44"/>
      <c r="AY70" s="44"/>
      <c r="AZ70" s="44"/>
      <c r="BA70" s="44"/>
      <c r="BB70" s="44"/>
      <c r="BC70" s="44"/>
      <c r="BD70" s="44"/>
      <c r="BE70" s="44"/>
      <c r="BF70" s="44">
        <v>148</v>
      </c>
      <c r="BG70" s="44"/>
      <c r="BH70" s="44">
        <v>370</v>
      </c>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f t="shared" si="5"/>
        <v>0</v>
      </c>
      <c r="CW70" s="44">
        <f t="shared" si="6"/>
        <v>0</v>
      </c>
      <c r="CX70" s="47">
        <f t="shared" si="24"/>
        <v>609</v>
      </c>
      <c r="CY70" s="47">
        <v>3</v>
      </c>
      <c r="CZ70" s="31">
        <f t="shared" si="15"/>
        <v>0</v>
      </c>
      <c r="DA70" s="88" t="s">
        <v>404</v>
      </c>
      <c r="DB70" s="44">
        <v>606</v>
      </c>
      <c r="DC70" s="39"/>
      <c r="DD70" s="40"/>
      <c r="DE70" s="40"/>
      <c r="DF70" s="40"/>
      <c r="DG70" s="49"/>
      <c r="DH70" s="45" t="s">
        <v>522</v>
      </c>
      <c r="DI70" s="1" t="s">
        <v>508</v>
      </c>
      <c r="DJ70" s="2" t="s">
        <v>510</v>
      </c>
      <c r="DK70" s="49">
        <v>606</v>
      </c>
      <c r="DL70" s="71">
        <f t="shared" si="16"/>
        <v>1.6833333333333333</v>
      </c>
      <c r="DM70" s="68">
        <f t="shared" si="8"/>
        <v>45450000</v>
      </c>
      <c r="DN70" s="68">
        <f t="shared" si="9"/>
        <v>136350000</v>
      </c>
      <c r="DO70" s="50">
        <v>1</v>
      </c>
      <c r="DP70" s="33">
        <f t="shared" si="25"/>
        <v>100</v>
      </c>
      <c r="DQ70" s="50">
        <v>12</v>
      </c>
      <c r="DR70" s="69">
        <f t="shared" si="17"/>
        <v>6120000</v>
      </c>
      <c r="DS70" s="49">
        <v>606</v>
      </c>
      <c r="DT70" s="68">
        <f t="shared" si="18"/>
        <v>18180000</v>
      </c>
      <c r="DU70" s="36">
        <f>3+606</f>
        <v>609</v>
      </c>
      <c r="DV70" s="68">
        <f t="shared" si="19"/>
        <v>6060000</v>
      </c>
      <c r="DW70" s="69">
        <f t="shared" si="26"/>
        <v>212160000</v>
      </c>
      <c r="DX70" s="33">
        <f t="shared" si="27"/>
        <v>0</v>
      </c>
    </row>
    <row r="71" spans="1:128" s="51" customFormat="1" ht="22.5" customHeight="1">
      <c r="A71" s="40">
        <v>65</v>
      </c>
      <c r="B71" s="41" t="s">
        <v>311</v>
      </c>
      <c r="C71" s="56" t="s">
        <v>312</v>
      </c>
      <c r="D71" s="57" t="s">
        <v>312</v>
      </c>
      <c r="E71" s="43" t="s">
        <v>109</v>
      </c>
      <c r="F71" s="40" t="s">
        <v>104</v>
      </c>
      <c r="G71" s="40">
        <v>1307</v>
      </c>
      <c r="H71" s="40">
        <v>49</v>
      </c>
      <c r="I71" s="44">
        <v>789</v>
      </c>
      <c r="J71" s="56" t="s">
        <v>313</v>
      </c>
      <c r="K71" s="40">
        <v>3</v>
      </c>
      <c r="L71" s="40">
        <v>2</v>
      </c>
      <c r="M71" s="44">
        <f t="shared" ref="M71:M98" si="32">(K71*486)+(L71*80)</f>
        <v>1618</v>
      </c>
      <c r="N71" s="44"/>
      <c r="O71" s="44"/>
      <c r="P71" s="44">
        <f t="shared" si="29"/>
        <v>0</v>
      </c>
      <c r="Q71" s="44"/>
      <c r="R71" s="44">
        <f t="shared" si="21"/>
        <v>0</v>
      </c>
      <c r="S71" s="44"/>
      <c r="T71" s="44">
        <f t="shared" si="28"/>
        <v>10</v>
      </c>
      <c r="U71" s="44">
        <v>10</v>
      </c>
      <c r="V71" s="44"/>
      <c r="W71" s="44">
        <f t="shared" ref="W71:W98" si="33">M71-N71+O71-Q71+P71-S71+R71-T71</f>
        <v>1608</v>
      </c>
      <c r="X71" s="29">
        <f t="shared" si="13"/>
        <v>1608</v>
      </c>
      <c r="Y71" s="29">
        <f t="shared" si="14"/>
        <v>1608</v>
      </c>
      <c r="Z71" s="44">
        <f t="shared" si="30"/>
        <v>1608</v>
      </c>
      <c r="AA71" s="44"/>
      <c r="AB71" s="44"/>
      <c r="AC71" s="44"/>
      <c r="AD71" s="44"/>
      <c r="AE71" s="44"/>
      <c r="AF71" s="44"/>
      <c r="AG71" s="44"/>
      <c r="AH71" s="44"/>
      <c r="AI71" s="44"/>
      <c r="AJ71" s="44"/>
      <c r="AK71" s="44"/>
      <c r="AL71" s="44"/>
      <c r="AM71" s="44"/>
      <c r="AN71" s="44"/>
      <c r="AO71" s="44">
        <v>789</v>
      </c>
      <c r="AP71" s="44"/>
      <c r="AQ71" s="44"/>
      <c r="AR71" s="44"/>
      <c r="AS71" s="44"/>
      <c r="AT71" s="44"/>
      <c r="AU71" s="46"/>
      <c r="AV71" s="44"/>
      <c r="AW71" s="44"/>
      <c r="AX71" s="44"/>
      <c r="AY71" s="44"/>
      <c r="AZ71" s="44"/>
      <c r="BA71" s="44"/>
      <c r="BB71" s="44"/>
      <c r="BC71" s="44"/>
      <c r="BD71" s="44">
        <v>819</v>
      </c>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f t="shared" ref="CV71:CV98" si="34">P71</f>
        <v>0</v>
      </c>
      <c r="CW71" s="44">
        <f t="shared" ref="CW71:CW98" si="35">R71</f>
        <v>0</v>
      </c>
      <c r="CX71" s="47">
        <f t="shared" ref="CX71:CX102" si="36">CY71+DK71</f>
        <v>789</v>
      </c>
      <c r="CY71" s="47">
        <v>0</v>
      </c>
      <c r="CZ71" s="31">
        <f t="shared" si="15"/>
        <v>0</v>
      </c>
      <c r="DA71" s="88" t="s">
        <v>404</v>
      </c>
      <c r="DB71" s="44">
        <v>789</v>
      </c>
      <c r="DC71" s="39"/>
      <c r="DD71" s="40"/>
      <c r="DE71" s="40"/>
      <c r="DF71" s="40"/>
      <c r="DG71" s="49"/>
      <c r="DH71" s="57" t="s">
        <v>312</v>
      </c>
      <c r="DI71" s="1" t="s">
        <v>508</v>
      </c>
      <c r="DJ71" s="2" t="s">
        <v>510</v>
      </c>
      <c r="DK71" s="49">
        <v>789</v>
      </c>
      <c r="DL71" s="71">
        <f t="shared" si="16"/>
        <v>2.1916666666666669</v>
      </c>
      <c r="DM71" s="68">
        <f t="shared" ref="DM71:DM98" si="37">ROUND(DK71*75000,-3)</f>
        <v>59175000</v>
      </c>
      <c r="DN71" s="68">
        <f t="shared" ref="DN71:DN98" si="38">ROUND(DK71*225000,-3)</f>
        <v>177525000</v>
      </c>
      <c r="DO71" s="50">
        <v>3</v>
      </c>
      <c r="DP71" s="33">
        <f t="shared" ref="DP71:DP98" si="39">DK71/W71*100</f>
        <v>49.067164179104481</v>
      </c>
      <c r="DQ71" s="50">
        <v>6</v>
      </c>
      <c r="DR71" s="69">
        <f t="shared" si="17"/>
        <v>9180000</v>
      </c>
      <c r="DS71" s="49">
        <v>789</v>
      </c>
      <c r="DT71" s="68">
        <f t="shared" si="18"/>
        <v>23670000</v>
      </c>
      <c r="DU71" s="36">
        <v>789</v>
      </c>
      <c r="DV71" s="68">
        <f t="shared" si="19"/>
        <v>7890000</v>
      </c>
      <c r="DW71" s="69">
        <f t="shared" ref="DW71:DW102" si="40">DM71+DN71+DR71+DT71+DV71</f>
        <v>277440000</v>
      </c>
      <c r="DX71" s="33">
        <f t="shared" ref="DX71:DX98" si="41">I71-CX71</f>
        <v>0</v>
      </c>
    </row>
    <row r="72" spans="1:128" s="51" customFormat="1" ht="53.25" customHeight="1">
      <c r="A72" s="48">
        <v>66</v>
      </c>
      <c r="B72" s="41" t="s">
        <v>314</v>
      </c>
      <c r="C72" s="39" t="s">
        <v>315</v>
      </c>
      <c r="D72" s="88" t="s">
        <v>435</v>
      </c>
      <c r="E72" s="43" t="s">
        <v>109</v>
      </c>
      <c r="F72" s="40" t="s">
        <v>104</v>
      </c>
      <c r="G72" s="40">
        <v>1310</v>
      </c>
      <c r="H72" s="40">
        <v>49</v>
      </c>
      <c r="I72" s="44">
        <v>1767</v>
      </c>
      <c r="J72" s="45" t="s">
        <v>316</v>
      </c>
      <c r="K72" s="40">
        <v>4</v>
      </c>
      <c r="L72" s="40">
        <v>2</v>
      </c>
      <c r="M72" s="44">
        <f t="shared" si="32"/>
        <v>2104</v>
      </c>
      <c r="N72" s="44"/>
      <c r="O72" s="44"/>
      <c r="P72" s="44">
        <f t="shared" si="29"/>
        <v>0</v>
      </c>
      <c r="Q72" s="44"/>
      <c r="R72" s="44">
        <f t="shared" si="21"/>
        <v>0</v>
      </c>
      <c r="S72" s="44"/>
      <c r="T72" s="44">
        <f t="shared" si="28"/>
        <v>318</v>
      </c>
      <c r="U72" s="44">
        <v>25</v>
      </c>
      <c r="V72" s="44">
        <v>293</v>
      </c>
      <c r="W72" s="44">
        <f t="shared" si="33"/>
        <v>1786</v>
      </c>
      <c r="X72" s="29">
        <f t="shared" ref="X72:X98" si="42">M72-Q72-S72-U72</f>
        <v>2079</v>
      </c>
      <c r="Y72" s="29">
        <f t="shared" ref="Y72:Y98" si="43">SUM(AA72:CU72)</f>
        <v>2079</v>
      </c>
      <c r="Z72" s="44">
        <f t="shared" si="30"/>
        <v>2079</v>
      </c>
      <c r="AA72" s="44"/>
      <c r="AB72" s="44"/>
      <c r="AC72" s="44"/>
      <c r="AD72" s="44"/>
      <c r="AE72" s="44"/>
      <c r="AF72" s="44"/>
      <c r="AG72" s="44"/>
      <c r="AH72" s="44"/>
      <c r="AI72" s="44"/>
      <c r="AJ72" s="44"/>
      <c r="AK72" s="44"/>
      <c r="AL72" s="44"/>
      <c r="AM72" s="44"/>
      <c r="AN72" s="44"/>
      <c r="AO72" s="44">
        <v>1767</v>
      </c>
      <c r="AP72" s="44"/>
      <c r="AQ72" s="44"/>
      <c r="AR72" s="44"/>
      <c r="AS72" s="44"/>
      <c r="AT72" s="44"/>
      <c r="AU72" s="46">
        <v>293</v>
      </c>
      <c r="AV72" s="44"/>
      <c r="AW72" s="44"/>
      <c r="AX72" s="44"/>
      <c r="AY72" s="44"/>
      <c r="AZ72" s="44"/>
      <c r="BA72" s="44"/>
      <c r="BB72" s="44"/>
      <c r="BC72" s="44">
        <v>19</v>
      </c>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f t="shared" si="34"/>
        <v>0</v>
      </c>
      <c r="CW72" s="44">
        <f t="shared" si="35"/>
        <v>0</v>
      </c>
      <c r="CX72" s="47">
        <f t="shared" si="36"/>
        <v>1767</v>
      </c>
      <c r="CY72" s="47">
        <v>0</v>
      </c>
      <c r="CZ72" s="31">
        <f t="shared" ref="CZ72:CZ98" si="44">I72-CX72</f>
        <v>0</v>
      </c>
      <c r="DA72" s="88" t="s">
        <v>404</v>
      </c>
      <c r="DB72" s="44">
        <v>1767</v>
      </c>
      <c r="DC72" s="39"/>
      <c r="DD72" s="40"/>
      <c r="DE72" s="40"/>
      <c r="DF72" s="40"/>
      <c r="DG72" s="49"/>
      <c r="DH72" s="45" t="s">
        <v>518</v>
      </c>
      <c r="DI72" s="1" t="s">
        <v>508</v>
      </c>
      <c r="DJ72" s="2" t="s">
        <v>510</v>
      </c>
      <c r="DK72" s="49">
        <v>1767</v>
      </c>
      <c r="DL72" s="71">
        <f t="shared" ref="DL72:DL98" si="45">DK72/360</f>
        <v>4.9083333333333332</v>
      </c>
      <c r="DM72" s="68">
        <f t="shared" si="37"/>
        <v>132525000</v>
      </c>
      <c r="DN72" s="68">
        <f t="shared" si="38"/>
        <v>397575000</v>
      </c>
      <c r="DO72" s="50">
        <v>2</v>
      </c>
      <c r="DP72" s="33">
        <f t="shared" si="39"/>
        <v>98.936170212765958</v>
      </c>
      <c r="DQ72" s="50">
        <v>12</v>
      </c>
      <c r="DR72" s="69">
        <f t="shared" ref="DR72:DR98" si="46">DO72*DQ72*30*17000</f>
        <v>12240000</v>
      </c>
      <c r="DS72" s="49">
        <v>1767</v>
      </c>
      <c r="DT72" s="68">
        <f t="shared" ref="DT72:DT98" si="47">ROUND(DS72*30000,-3)</f>
        <v>53010000</v>
      </c>
      <c r="DU72" s="36">
        <v>1767</v>
      </c>
      <c r="DV72" s="68">
        <f t="shared" ref="DV72:DV98" si="48">ROUND(DK72*10000,-3)</f>
        <v>17670000</v>
      </c>
      <c r="DW72" s="69">
        <f t="shared" si="40"/>
        <v>613020000</v>
      </c>
      <c r="DX72" s="33">
        <f t="shared" si="41"/>
        <v>0</v>
      </c>
    </row>
    <row r="73" spans="1:128" s="51" customFormat="1" ht="22.5" customHeight="1">
      <c r="A73" s="40">
        <v>67</v>
      </c>
      <c r="B73" s="41" t="s">
        <v>317</v>
      </c>
      <c r="C73" s="39" t="s">
        <v>318</v>
      </c>
      <c r="D73" s="39" t="s">
        <v>320</v>
      </c>
      <c r="E73" s="43" t="s">
        <v>109</v>
      </c>
      <c r="F73" s="40" t="s">
        <v>104</v>
      </c>
      <c r="G73" s="40">
        <v>1311</v>
      </c>
      <c r="H73" s="40">
        <v>49</v>
      </c>
      <c r="I73" s="44">
        <v>1753</v>
      </c>
      <c r="J73" s="45" t="s">
        <v>319</v>
      </c>
      <c r="K73" s="40">
        <v>4</v>
      </c>
      <c r="L73" s="40">
        <v>5</v>
      </c>
      <c r="M73" s="44">
        <f t="shared" si="32"/>
        <v>2344</v>
      </c>
      <c r="N73" s="44"/>
      <c r="O73" s="44"/>
      <c r="P73" s="44">
        <f t="shared" si="29"/>
        <v>140</v>
      </c>
      <c r="Q73" s="44">
        <v>35</v>
      </c>
      <c r="R73" s="44">
        <f t="shared" si="21"/>
        <v>0</v>
      </c>
      <c r="S73" s="44"/>
      <c r="T73" s="44">
        <f t="shared" si="28"/>
        <v>22</v>
      </c>
      <c r="U73" s="44">
        <v>22</v>
      </c>
      <c r="V73" s="44"/>
      <c r="W73" s="44">
        <f t="shared" si="33"/>
        <v>2427</v>
      </c>
      <c r="X73" s="29">
        <f t="shared" si="42"/>
        <v>2287</v>
      </c>
      <c r="Y73" s="29">
        <f t="shared" si="43"/>
        <v>2287</v>
      </c>
      <c r="Z73" s="44">
        <f t="shared" si="30"/>
        <v>2427</v>
      </c>
      <c r="AA73" s="44"/>
      <c r="AB73" s="44"/>
      <c r="AC73" s="44"/>
      <c r="AD73" s="44"/>
      <c r="AE73" s="44"/>
      <c r="AF73" s="44"/>
      <c r="AG73" s="44"/>
      <c r="AH73" s="44"/>
      <c r="AI73" s="44"/>
      <c r="AJ73" s="44"/>
      <c r="AK73" s="44"/>
      <c r="AL73" s="44"/>
      <c r="AM73" s="44"/>
      <c r="AN73" s="44"/>
      <c r="AO73" s="44">
        <v>1753</v>
      </c>
      <c r="AP73" s="44"/>
      <c r="AQ73" s="44"/>
      <c r="AR73" s="44"/>
      <c r="AS73" s="44"/>
      <c r="AT73" s="44"/>
      <c r="AU73" s="46"/>
      <c r="AV73" s="44"/>
      <c r="AW73" s="44"/>
      <c r="AX73" s="44"/>
      <c r="AY73" s="44"/>
      <c r="AZ73" s="44"/>
      <c r="BA73" s="44"/>
      <c r="BB73" s="44"/>
      <c r="BC73" s="44">
        <v>325</v>
      </c>
      <c r="BD73" s="44"/>
      <c r="BE73" s="44"/>
      <c r="BF73" s="44"/>
      <c r="BG73" s="44"/>
      <c r="BH73" s="44">
        <v>209</v>
      </c>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f t="shared" si="34"/>
        <v>140</v>
      </c>
      <c r="CW73" s="44">
        <f t="shared" si="35"/>
        <v>0</v>
      </c>
      <c r="CX73" s="47">
        <f t="shared" si="36"/>
        <v>1753</v>
      </c>
      <c r="CY73" s="47">
        <v>0</v>
      </c>
      <c r="CZ73" s="31">
        <f t="shared" si="44"/>
        <v>0</v>
      </c>
      <c r="DA73" s="88" t="s">
        <v>404</v>
      </c>
      <c r="DB73" s="44">
        <v>1753</v>
      </c>
      <c r="DC73" s="39"/>
      <c r="DD73" s="40"/>
      <c r="DE73" s="40"/>
      <c r="DF73" s="40"/>
      <c r="DG73" s="49"/>
      <c r="DH73" s="39" t="s">
        <v>320</v>
      </c>
      <c r="DI73" s="1" t="s">
        <v>508</v>
      </c>
      <c r="DJ73" s="2" t="s">
        <v>510</v>
      </c>
      <c r="DK73" s="49">
        <v>1753</v>
      </c>
      <c r="DL73" s="71">
        <f t="shared" si="45"/>
        <v>4.8694444444444445</v>
      </c>
      <c r="DM73" s="68">
        <f t="shared" si="37"/>
        <v>131475000</v>
      </c>
      <c r="DN73" s="68">
        <f t="shared" si="38"/>
        <v>394425000</v>
      </c>
      <c r="DO73" s="50">
        <v>9</v>
      </c>
      <c r="DP73" s="33">
        <f t="shared" si="39"/>
        <v>72.229089410795225</v>
      </c>
      <c r="DQ73" s="50">
        <v>12</v>
      </c>
      <c r="DR73" s="69">
        <f t="shared" si="46"/>
        <v>55080000</v>
      </c>
      <c r="DS73" s="49">
        <v>1753</v>
      </c>
      <c r="DT73" s="68">
        <f t="shared" si="47"/>
        <v>52590000</v>
      </c>
      <c r="DU73" s="36">
        <v>1753</v>
      </c>
      <c r="DV73" s="68">
        <f t="shared" si="48"/>
        <v>17530000</v>
      </c>
      <c r="DW73" s="69">
        <f t="shared" si="40"/>
        <v>651100000</v>
      </c>
      <c r="DX73" s="33">
        <f t="shared" si="41"/>
        <v>0</v>
      </c>
    </row>
    <row r="74" spans="1:128" s="51" customFormat="1" ht="34.5" customHeight="1">
      <c r="A74" s="40">
        <v>68</v>
      </c>
      <c r="B74" s="41" t="s">
        <v>321</v>
      </c>
      <c r="C74" s="45" t="s">
        <v>322</v>
      </c>
      <c r="D74" s="45" t="s">
        <v>469</v>
      </c>
      <c r="E74" s="43" t="s">
        <v>109</v>
      </c>
      <c r="F74" s="40" t="s">
        <v>104</v>
      </c>
      <c r="G74" s="40">
        <v>1314</v>
      </c>
      <c r="H74" s="40">
        <v>49</v>
      </c>
      <c r="I74" s="44">
        <v>1447</v>
      </c>
      <c r="J74" s="56" t="s">
        <v>323</v>
      </c>
      <c r="K74" s="40">
        <v>3</v>
      </c>
      <c r="L74" s="40">
        <v>4</v>
      </c>
      <c r="M74" s="44">
        <f t="shared" si="32"/>
        <v>1778</v>
      </c>
      <c r="N74" s="44"/>
      <c r="O74" s="44"/>
      <c r="P74" s="44">
        <f t="shared" si="29"/>
        <v>0</v>
      </c>
      <c r="Q74" s="44"/>
      <c r="R74" s="44">
        <f t="shared" si="21"/>
        <v>0</v>
      </c>
      <c r="S74" s="44"/>
      <c r="T74" s="44">
        <f t="shared" si="28"/>
        <v>18</v>
      </c>
      <c r="U74" s="44">
        <v>18</v>
      </c>
      <c r="V74" s="44"/>
      <c r="W74" s="44">
        <f t="shared" si="33"/>
        <v>1760</v>
      </c>
      <c r="X74" s="29">
        <f t="shared" si="42"/>
        <v>1760</v>
      </c>
      <c r="Y74" s="29">
        <f t="shared" si="43"/>
        <v>1760</v>
      </c>
      <c r="Z74" s="44">
        <f t="shared" si="30"/>
        <v>1760</v>
      </c>
      <c r="AA74" s="44"/>
      <c r="AB74" s="44"/>
      <c r="AC74" s="44"/>
      <c r="AD74" s="44"/>
      <c r="AE74" s="44"/>
      <c r="AF74" s="44"/>
      <c r="AG74" s="44"/>
      <c r="AH74" s="44"/>
      <c r="AI74" s="44"/>
      <c r="AJ74" s="44"/>
      <c r="AK74" s="44"/>
      <c r="AL74" s="44"/>
      <c r="AM74" s="44"/>
      <c r="AN74" s="44"/>
      <c r="AO74" s="44">
        <v>1447</v>
      </c>
      <c r="AP74" s="44"/>
      <c r="AQ74" s="44"/>
      <c r="AR74" s="44"/>
      <c r="AS74" s="44">
        <v>42</v>
      </c>
      <c r="AT74" s="44"/>
      <c r="AU74" s="46"/>
      <c r="AV74" s="44"/>
      <c r="AW74" s="44"/>
      <c r="AX74" s="44"/>
      <c r="AY74" s="44"/>
      <c r="AZ74" s="44"/>
      <c r="BA74" s="44"/>
      <c r="BB74" s="44"/>
      <c r="BC74" s="44">
        <v>110</v>
      </c>
      <c r="BD74" s="44">
        <v>161</v>
      </c>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f t="shared" si="34"/>
        <v>0</v>
      </c>
      <c r="CW74" s="44">
        <f t="shared" si="35"/>
        <v>0</v>
      </c>
      <c r="CX74" s="47">
        <f t="shared" si="36"/>
        <v>1447</v>
      </c>
      <c r="CY74" s="47">
        <v>0</v>
      </c>
      <c r="CZ74" s="31">
        <f t="shared" si="44"/>
        <v>0</v>
      </c>
      <c r="DA74" s="88" t="s">
        <v>404</v>
      </c>
      <c r="DB74" s="44">
        <v>1447</v>
      </c>
      <c r="DC74" s="39"/>
      <c r="DD74" s="40"/>
      <c r="DE74" s="40"/>
      <c r="DF74" s="40"/>
      <c r="DG74" s="49"/>
      <c r="DH74" s="39" t="s">
        <v>469</v>
      </c>
      <c r="DI74" s="1" t="s">
        <v>508</v>
      </c>
      <c r="DJ74" s="2" t="s">
        <v>510</v>
      </c>
      <c r="DK74" s="49">
        <v>1447</v>
      </c>
      <c r="DL74" s="71">
        <f t="shared" si="45"/>
        <v>4.0194444444444448</v>
      </c>
      <c r="DM74" s="68">
        <f t="shared" si="37"/>
        <v>108525000</v>
      </c>
      <c r="DN74" s="68">
        <f t="shared" si="38"/>
        <v>325575000</v>
      </c>
      <c r="DO74" s="50">
        <v>4</v>
      </c>
      <c r="DP74" s="33">
        <f t="shared" si="39"/>
        <v>82.215909090909093</v>
      </c>
      <c r="DQ74" s="50">
        <v>12</v>
      </c>
      <c r="DR74" s="69">
        <f t="shared" si="46"/>
        <v>24480000</v>
      </c>
      <c r="DS74" s="49">
        <v>1447</v>
      </c>
      <c r="DT74" s="68">
        <f t="shared" si="47"/>
        <v>43410000</v>
      </c>
      <c r="DU74" s="36">
        <v>1447</v>
      </c>
      <c r="DV74" s="68">
        <f t="shared" si="48"/>
        <v>14470000</v>
      </c>
      <c r="DW74" s="69">
        <f t="shared" si="40"/>
        <v>516460000</v>
      </c>
      <c r="DX74" s="33">
        <f t="shared" si="41"/>
        <v>0</v>
      </c>
    </row>
    <row r="75" spans="1:128" s="51" customFormat="1" ht="20.25" customHeight="1">
      <c r="A75" s="40">
        <v>69</v>
      </c>
      <c r="B75" s="41" t="s">
        <v>324</v>
      </c>
      <c r="C75" s="39" t="s">
        <v>325</v>
      </c>
      <c r="D75" s="88" t="s">
        <v>436</v>
      </c>
      <c r="E75" s="43" t="s">
        <v>109</v>
      </c>
      <c r="F75" s="40" t="s">
        <v>104</v>
      </c>
      <c r="G75" s="40">
        <v>1315</v>
      </c>
      <c r="H75" s="40">
        <v>49</v>
      </c>
      <c r="I75" s="44">
        <v>553</v>
      </c>
      <c r="J75" s="45" t="s">
        <v>326</v>
      </c>
      <c r="K75" s="40">
        <v>2</v>
      </c>
      <c r="L75" s="40">
        <v>1</v>
      </c>
      <c r="M75" s="44">
        <f t="shared" si="32"/>
        <v>1052</v>
      </c>
      <c r="N75" s="44"/>
      <c r="O75" s="44"/>
      <c r="P75" s="44">
        <v>250</v>
      </c>
      <c r="Q75" s="44">
        <v>62</v>
      </c>
      <c r="R75" s="44">
        <f t="shared" si="21"/>
        <v>0</v>
      </c>
      <c r="S75" s="44"/>
      <c r="T75" s="44">
        <f t="shared" si="28"/>
        <v>7</v>
      </c>
      <c r="U75" s="44">
        <v>7</v>
      </c>
      <c r="V75" s="44"/>
      <c r="W75" s="44">
        <f t="shared" si="33"/>
        <v>1233</v>
      </c>
      <c r="X75" s="29">
        <f t="shared" si="42"/>
        <v>983</v>
      </c>
      <c r="Y75" s="29">
        <f t="shared" si="43"/>
        <v>983</v>
      </c>
      <c r="Z75" s="44">
        <f t="shared" si="30"/>
        <v>1233</v>
      </c>
      <c r="AA75" s="44"/>
      <c r="AB75" s="44"/>
      <c r="AC75" s="44"/>
      <c r="AD75" s="44"/>
      <c r="AE75" s="44"/>
      <c r="AF75" s="44"/>
      <c r="AG75" s="44"/>
      <c r="AH75" s="44"/>
      <c r="AI75" s="44"/>
      <c r="AJ75" s="44"/>
      <c r="AK75" s="44"/>
      <c r="AL75" s="44"/>
      <c r="AM75" s="44"/>
      <c r="AN75" s="44"/>
      <c r="AO75" s="44">
        <v>553</v>
      </c>
      <c r="AP75" s="44"/>
      <c r="AQ75" s="44"/>
      <c r="AR75" s="44"/>
      <c r="AS75" s="44"/>
      <c r="AT75" s="44"/>
      <c r="AU75" s="46"/>
      <c r="AV75" s="44"/>
      <c r="AW75" s="44"/>
      <c r="AX75" s="44"/>
      <c r="AY75" s="44"/>
      <c r="AZ75" s="44"/>
      <c r="BA75" s="44"/>
      <c r="BB75" s="44"/>
      <c r="BC75" s="44">
        <v>430</v>
      </c>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f t="shared" si="34"/>
        <v>250</v>
      </c>
      <c r="CW75" s="44">
        <f t="shared" si="35"/>
        <v>0</v>
      </c>
      <c r="CX75" s="47">
        <f t="shared" si="36"/>
        <v>553</v>
      </c>
      <c r="CY75" s="47">
        <v>0</v>
      </c>
      <c r="CZ75" s="31">
        <f t="shared" si="44"/>
        <v>0</v>
      </c>
      <c r="DA75" s="88" t="s">
        <v>404</v>
      </c>
      <c r="DB75" s="44">
        <v>553</v>
      </c>
      <c r="DC75" s="39"/>
      <c r="DD75" s="40"/>
      <c r="DE75" s="40"/>
      <c r="DF75" s="40"/>
      <c r="DG75" s="49"/>
      <c r="DH75" s="39" t="s">
        <v>436</v>
      </c>
      <c r="DI75" s="1" t="s">
        <v>508</v>
      </c>
      <c r="DJ75" s="2" t="s">
        <v>510</v>
      </c>
      <c r="DK75" s="49">
        <v>553</v>
      </c>
      <c r="DL75" s="71">
        <f t="shared" si="45"/>
        <v>1.5361111111111112</v>
      </c>
      <c r="DM75" s="68">
        <f t="shared" si="37"/>
        <v>41475000</v>
      </c>
      <c r="DN75" s="68">
        <f t="shared" si="38"/>
        <v>124425000</v>
      </c>
      <c r="DO75" s="50">
        <v>0</v>
      </c>
      <c r="DP75" s="33">
        <f t="shared" si="39"/>
        <v>44.849959448499597</v>
      </c>
      <c r="DQ75" s="50">
        <v>6</v>
      </c>
      <c r="DR75" s="69">
        <f t="shared" si="46"/>
        <v>0</v>
      </c>
      <c r="DS75" s="49">
        <v>553</v>
      </c>
      <c r="DT75" s="68">
        <f t="shared" si="47"/>
        <v>16590000</v>
      </c>
      <c r="DU75" s="36">
        <v>553</v>
      </c>
      <c r="DV75" s="68">
        <f t="shared" si="48"/>
        <v>5530000</v>
      </c>
      <c r="DW75" s="69">
        <f t="shared" si="40"/>
        <v>188020000</v>
      </c>
      <c r="DX75" s="33">
        <f t="shared" si="41"/>
        <v>0</v>
      </c>
    </row>
    <row r="76" spans="1:128" s="51" customFormat="1" ht="31.5" customHeight="1">
      <c r="A76" s="40">
        <v>70</v>
      </c>
      <c r="B76" s="41" t="s">
        <v>327</v>
      </c>
      <c r="C76" s="39" t="s">
        <v>328</v>
      </c>
      <c r="D76" s="39" t="s">
        <v>470</v>
      </c>
      <c r="E76" s="43" t="s">
        <v>109</v>
      </c>
      <c r="F76" s="40" t="s">
        <v>104</v>
      </c>
      <c r="G76" s="40">
        <v>1318</v>
      </c>
      <c r="H76" s="40">
        <v>49</v>
      </c>
      <c r="I76" s="44">
        <v>733</v>
      </c>
      <c r="J76" s="56" t="s">
        <v>329</v>
      </c>
      <c r="K76" s="40">
        <v>2</v>
      </c>
      <c r="L76" s="40">
        <v>1</v>
      </c>
      <c r="M76" s="44">
        <f t="shared" si="32"/>
        <v>1052</v>
      </c>
      <c r="N76" s="44"/>
      <c r="O76" s="44"/>
      <c r="P76" s="44">
        <f t="shared" si="29"/>
        <v>0</v>
      </c>
      <c r="Q76" s="44"/>
      <c r="R76" s="44">
        <f t="shared" si="21"/>
        <v>270</v>
      </c>
      <c r="S76" s="44">
        <v>135</v>
      </c>
      <c r="T76" s="44">
        <f t="shared" si="28"/>
        <v>9</v>
      </c>
      <c r="U76" s="44">
        <v>9</v>
      </c>
      <c r="V76" s="44"/>
      <c r="W76" s="44">
        <f t="shared" si="33"/>
        <v>1178</v>
      </c>
      <c r="X76" s="29">
        <f t="shared" si="42"/>
        <v>908</v>
      </c>
      <c r="Y76" s="29">
        <f t="shared" si="43"/>
        <v>908</v>
      </c>
      <c r="Z76" s="44">
        <f t="shared" si="30"/>
        <v>1178</v>
      </c>
      <c r="AA76" s="44"/>
      <c r="AB76" s="44"/>
      <c r="AC76" s="44"/>
      <c r="AD76" s="44"/>
      <c r="AE76" s="44"/>
      <c r="AF76" s="44"/>
      <c r="AG76" s="44"/>
      <c r="AH76" s="44"/>
      <c r="AI76" s="44"/>
      <c r="AJ76" s="44"/>
      <c r="AK76" s="44"/>
      <c r="AL76" s="44"/>
      <c r="AM76" s="44"/>
      <c r="AN76" s="44"/>
      <c r="AO76" s="44">
        <v>733</v>
      </c>
      <c r="AP76" s="44"/>
      <c r="AQ76" s="44"/>
      <c r="AR76" s="44"/>
      <c r="AS76" s="44"/>
      <c r="AT76" s="44"/>
      <c r="AU76" s="46"/>
      <c r="AV76" s="44"/>
      <c r="AW76" s="44"/>
      <c r="AX76" s="44"/>
      <c r="AY76" s="44"/>
      <c r="AZ76" s="44"/>
      <c r="BA76" s="44"/>
      <c r="BB76" s="44"/>
      <c r="BC76" s="44">
        <f>271-96</f>
        <v>175</v>
      </c>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f t="shared" si="34"/>
        <v>0</v>
      </c>
      <c r="CW76" s="44">
        <f t="shared" si="35"/>
        <v>270</v>
      </c>
      <c r="CX76" s="47">
        <f t="shared" si="36"/>
        <v>733</v>
      </c>
      <c r="CY76" s="47">
        <v>0</v>
      </c>
      <c r="CZ76" s="31">
        <f t="shared" si="44"/>
        <v>0</v>
      </c>
      <c r="DA76" s="88" t="s">
        <v>404</v>
      </c>
      <c r="DB76" s="44">
        <v>733</v>
      </c>
      <c r="DC76" s="39"/>
      <c r="DD76" s="40"/>
      <c r="DE76" s="40"/>
      <c r="DF76" s="40"/>
      <c r="DG76" s="49"/>
      <c r="DH76" s="39" t="s">
        <v>470</v>
      </c>
      <c r="DI76" s="1" t="s">
        <v>508</v>
      </c>
      <c r="DJ76" s="2" t="s">
        <v>510</v>
      </c>
      <c r="DK76" s="49">
        <v>733</v>
      </c>
      <c r="DL76" s="71">
        <f t="shared" si="45"/>
        <v>2.036111111111111</v>
      </c>
      <c r="DM76" s="68">
        <f t="shared" si="37"/>
        <v>54975000</v>
      </c>
      <c r="DN76" s="68">
        <f t="shared" si="38"/>
        <v>164925000</v>
      </c>
      <c r="DO76" s="50">
        <v>2</v>
      </c>
      <c r="DP76" s="33">
        <f t="shared" si="39"/>
        <v>62.224108658743639</v>
      </c>
      <c r="DQ76" s="50">
        <v>6</v>
      </c>
      <c r="DR76" s="69">
        <f t="shared" si="46"/>
        <v>6120000</v>
      </c>
      <c r="DS76" s="49">
        <v>733</v>
      </c>
      <c r="DT76" s="68">
        <f t="shared" si="47"/>
        <v>21990000</v>
      </c>
      <c r="DU76" s="36">
        <v>733</v>
      </c>
      <c r="DV76" s="68">
        <f t="shared" si="48"/>
        <v>7330000</v>
      </c>
      <c r="DW76" s="69">
        <f t="shared" si="40"/>
        <v>255340000</v>
      </c>
      <c r="DX76" s="33">
        <f t="shared" si="41"/>
        <v>0</v>
      </c>
    </row>
    <row r="77" spans="1:128" s="51" customFormat="1" ht="54" customHeight="1">
      <c r="A77" s="40">
        <v>71</v>
      </c>
      <c r="B77" s="41" t="s">
        <v>330</v>
      </c>
      <c r="C77" s="39" t="s">
        <v>331</v>
      </c>
      <c r="D77" s="88" t="s">
        <v>437</v>
      </c>
      <c r="E77" s="43" t="s">
        <v>109</v>
      </c>
      <c r="F77" s="40" t="s">
        <v>104</v>
      </c>
      <c r="G77" s="40">
        <v>1319</v>
      </c>
      <c r="H77" s="40">
        <v>49</v>
      </c>
      <c r="I77" s="44">
        <f>131+1429</f>
        <v>1560</v>
      </c>
      <c r="J77" s="56" t="s">
        <v>332</v>
      </c>
      <c r="K77" s="40">
        <v>4</v>
      </c>
      <c r="L77" s="40">
        <v>3</v>
      </c>
      <c r="M77" s="44">
        <f t="shared" si="32"/>
        <v>2184</v>
      </c>
      <c r="N77" s="44"/>
      <c r="O77" s="44"/>
      <c r="P77" s="44">
        <f t="shared" si="29"/>
        <v>0</v>
      </c>
      <c r="Q77" s="44"/>
      <c r="R77" s="44">
        <f t="shared" si="21"/>
        <v>8</v>
      </c>
      <c r="S77" s="44">
        <v>4</v>
      </c>
      <c r="T77" s="44">
        <f t="shared" si="28"/>
        <v>254</v>
      </c>
      <c r="U77" s="44">
        <v>18</v>
      </c>
      <c r="V77" s="44">
        <v>236</v>
      </c>
      <c r="W77" s="44">
        <f t="shared" si="33"/>
        <v>1934</v>
      </c>
      <c r="X77" s="29">
        <f t="shared" si="42"/>
        <v>2162</v>
      </c>
      <c r="Y77" s="29">
        <f t="shared" si="43"/>
        <v>2162</v>
      </c>
      <c r="Z77" s="44">
        <f t="shared" si="30"/>
        <v>2170</v>
      </c>
      <c r="AA77" s="44"/>
      <c r="AB77" s="44"/>
      <c r="AC77" s="44"/>
      <c r="AD77" s="44"/>
      <c r="AE77" s="44"/>
      <c r="AF77" s="44"/>
      <c r="AG77" s="44"/>
      <c r="AH77" s="44"/>
      <c r="AI77" s="44"/>
      <c r="AJ77" s="44"/>
      <c r="AK77" s="44"/>
      <c r="AL77" s="44"/>
      <c r="AM77" s="44"/>
      <c r="AN77" s="44"/>
      <c r="AO77" s="44">
        <v>1429</v>
      </c>
      <c r="AP77" s="44"/>
      <c r="AQ77" s="44"/>
      <c r="AR77" s="44"/>
      <c r="AS77" s="44"/>
      <c r="AT77" s="44"/>
      <c r="AU77" s="46"/>
      <c r="AV77" s="44"/>
      <c r="AW77" s="44"/>
      <c r="AX77" s="44"/>
      <c r="AY77" s="44"/>
      <c r="AZ77" s="44"/>
      <c r="BA77" s="44"/>
      <c r="BB77" s="44"/>
      <c r="BC77" s="44">
        <v>497</v>
      </c>
      <c r="BD77" s="44"/>
      <c r="BE77" s="44"/>
      <c r="BF77" s="44"/>
      <c r="BG77" s="44">
        <v>236</v>
      </c>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f t="shared" si="34"/>
        <v>0</v>
      </c>
      <c r="CW77" s="44">
        <f t="shared" si="35"/>
        <v>8</v>
      </c>
      <c r="CX77" s="47">
        <f t="shared" si="36"/>
        <v>1560</v>
      </c>
      <c r="CY77" s="47">
        <v>131</v>
      </c>
      <c r="CZ77" s="31">
        <f t="shared" si="44"/>
        <v>0</v>
      </c>
      <c r="DA77" s="88" t="s">
        <v>404</v>
      </c>
      <c r="DB77" s="44">
        <v>1429</v>
      </c>
      <c r="DC77" s="39"/>
      <c r="DD77" s="40"/>
      <c r="DE77" s="40"/>
      <c r="DF77" s="40"/>
      <c r="DG77" s="49"/>
      <c r="DH77" s="45" t="s">
        <v>437</v>
      </c>
      <c r="DI77" s="1" t="s">
        <v>508</v>
      </c>
      <c r="DJ77" s="2" t="s">
        <v>510</v>
      </c>
      <c r="DK77" s="49">
        <v>1429</v>
      </c>
      <c r="DL77" s="71">
        <f t="shared" si="45"/>
        <v>3.9694444444444446</v>
      </c>
      <c r="DM77" s="68">
        <f t="shared" si="37"/>
        <v>107175000</v>
      </c>
      <c r="DN77" s="68">
        <f t="shared" si="38"/>
        <v>321525000</v>
      </c>
      <c r="DO77" s="50">
        <v>2</v>
      </c>
      <c r="DP77" s="33">
        <f t="shared" si="39"/>
        <v>73.888314374353669</v>
      </c>
      <c r="DQ77" s="50">
        <v>12</v>
      </c>
      <c r="DR77" s="69">
        <f t="shared" si="46"/>
        <v>12240000</v>
      </c>
      <c r="DS77" s="49">
        <v>1429</v>
      </c>
      <c r="DT77" s="68">
        <f t="shared" si="47"/>
        <v>42870000</v>
      </c>
      <c r="DU77" s="36">
        <f>131+1429</f>
        <v>1560</v>
      </c>
      <c r="DV77" s="68">
        <f t="shared" si="48"/>
        <v>14290000</v>
      </c>
      <c r="DW77" s="69">
        <f t="shared" si="40"/>
        <v>498100000</v>
      </c>
      <c r="DX77" s="33">
        <f t="shared" si="41"/>
        <v>0</v>
      </c>
    </row>
    <row r="78" spans="1:128" s="51" customFormat="1" ht="24" customHeight="1">
      <c r="A78" s="40">
        <v>72</v>
      </c>
      <c r="B78" s="41" t="s">
        <v>333</v>
      </c>
      <c r="C78" s="39" t="s">
        <v>334</v>
      </c>
      <c r="D78" s="88" t="s">
        <v>438</v>
      </c>
      <c r="E78" s="43" t="s">
        <v>109</v>
      </c>
      <c r="F78" s="40" t="s">
        <v>104</v>
      </c>
      <c r="G78" s="40">
        <v>83</v>
      </c>
      <c r="H78" s="40">
        <v>52</v>
      </c>
      <c r="I78" s="44">
        <v>400</v>
      </c>
      <c r="J78" s="45" t="s">
        <v>335</v>
      </c>
      <c r="K78" s="40">
        <v>1</v>
      </c>
      <c r="L78" s="40">
        <v>1</v>
      </c>
      <c r="M78" s="44">
        <f t="shared" si="32"/>
        <v>566</v>
      </c>
      <c r="N78" s="44"/>
      <c r="O78" s="44"/>
      <c r="P78" s="44">
        <f t="shared" si="29"/>
        <v>0</v>
      </c>
      <c r="Q78" s="44"/>
      <c r="R78" s="44">
        <f t="shared" si="21"/>
        <v>0</v>
      </c>
      <c r="S78" s="44"/>
      <c r="T78" s="44">
        <f t="shared" si="28"/>
        <v>101</v>
      </c>
      <c r="U78" s="44">
        <v>5</v>
      </c>
      <c r="V78" s="44">
        <v>96</v>
      </c>
      <c r="W78" s="44">
        <f t="shared" si="33"/>
        <v>465</v>
      </c>
      <c r="X78" s="29">
        <f t="shared" si="42"/>
        <v>561</v>
      </c>
      <c r="Y78" s="29">
        <f t="shared" si="43"/>
        <v>561</v>
      </c>
      <c r="Z78" s="44">
        <f t="shared" si="30"/>
        <v>561</v>
      </c>
      <c r="AA78" s="44"/>
      <c r="AB78" s="44"/>
      <c r="AC78" s="44"/>
      <c r="AD78" s="44"/>
      <c r="AE78" s="44"/>
      <c r="AF78" s="44"/>
      <c r="AG78" s="44"/>
      <c r="AH78" s="44"/>
      <c r="AI78" s="44"/>
      <c r="AJ78" s="44"/>
      <c r="AK78" s="44"/>
      <c r="AL78" s="44"/>
      <c r="AM78" s="44"/>
      <c r="AN78" s="44"/>
      <c r="AO78" s="44">
        <v>400</v>
      </c>
      <c r="AP78" s="44"/>
      <c r="AQ78" s="44"/>
      <c r="AR78" s="44"/>
      <c r="AS78" s="44"/>
      <c r="AT78" s="44"/>
      <c r="AU78" s="46"/>
      <c r="AV78" s="44"/>
      <c r="AW78" s="44"/>
      <c r="AX78" s="44"/>
      <c r="AY78" s="44"/>
      <c r="AZ78" s="44"/>
      <c r="BA78" s="44"/>
      <c r="BB78" s="44"/>
      <c r="BC78" s="44">
        <f>58+7</f>
        <v>65</v>
      </c>
      <c r="BD78" s="44"/>
      <c r="BE78" s="44"/>
      <c r="BF78" s="44"/>
      <c r="BG78" s="44">
        <v>96</v>
      </c>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f t="shared" si="34"/>
        <v>0</v>
      </c>
      <c r="CW78" s="44">
        <f t="shared" si="35"/>
        <v>0</v>
      </c>
      <c r="CX78" s="47">
        <f t="shared" si="36"/>
        <v>399.99999999999994</v>
      </c>
      <c r="CY78" s="47">
        <v>0</v>
      </c>
      <c r="CZ78" s="31">
        <f t="shared" si="44"/>
        <v>0</v>
      </c>
      <c r="DA78" s="88" t="s">
        <v>404</v>
      </c>
      <c r="DB78" s="44">
        <v>400</v>
      </c>
      <c r="DC78" s="39"/>
      <c r="DD78" s="40"/>
      <c r="DE78" s="40"/>
      <c r="DF78" s="40"/>
      <c r="DG78" s="49"/>
      <c r="DH78" s="45" t="s">
        <v>438</v>
      </c>
      <c r="DI78" s="1" t="s">
        <v>509</v>
      </c>
      <c r="DJ78" s="2" t="s">
        <v>510</v>
      </c>
      <c r="DK78" s="49">
        <v>399.99999999999994</v>
      </c>
      <c r="DL78" s="71">
        <f t="shared" si="45"/>
        <v>1.1111111111111109</v>
      </c>
      <c r="DM78" s="68">
        <f t="shared" si="37"/>
        <v>30000000</v>
      </c>
      <c r="DN78" s="68">
        <f t="shared" si="38"/>
        <v>90000000</v>
      </c>
      <c r="DO78" s="50">
        <v>0</v>
      </c>
      <c r="DP78" s="33">
        <f t="shared" si="39"/>
        <v>86.021505376344081</v>
      </c>
      <c r="DQ78" s="50">
        <v>12</v>
      </c>
      <c r="DR78" s="69">
        <f t="shared" si="46"/>
        <v>0</v>
      </c>
      <c r="DS78" s="49">
        <v>399.99999999999994</v>
      </c>
      <c r="DT78" s="68">
        <f t="shared" si="47"/>
        <v>12000000</v>
      </c>
      <c r="DU78" s="36">
        <v>399.99999999999994</v>
      </c>
      <c r="DV78" s="68">
        <f t="shared" si="48"/>
        <v>4000000</v>
      </c>
      <c r="DW78" s="69">
        <f t="shared" si="40"/>
        <v>136000000</v>
      </c>
      <c r="DX78" s="33">
        <f t="shared" si="41"/>
        <v>0</v>
      </c>
    </row>
    <row r="79" spans="1:128" s="51" customFormat="1" ht="27" customHeight="1">
      <c r="A79" s="40">
        <v>73</v>
      </c>
      <c r="B79" s="41" t="s">
        <v>336</v>
      </c>
      <c r="C79" s="56" t="s">
        <v>337</v>
      </c>
      <c r="D79" s="39" t="s">
        <v>337</v>
      </c>
      <c r="E79" s="43" t="s">
        <v>109</v>
      </c>
      <c r="F79" s="40" t="s">
        <v>104</v>
      </c>
      <c r="G79" s="40">
        <v>84</v>
      </c>
      <c r="H79" s="40">
        <v>52</v>
      </c>
      <c r="I79" s="44">
        <v>953</v>
      </c>
      <c r="J79" s="56" t="s">
        <v>337</v>
      </c>
      <c r="K79" s="40">
        <v>2</v>
      </c>
      <c r="L79" s="40">
        <v>2</v>
      </c>
      <c r="M79" s="44">
        <f t="shared" si="32"/>
        <v>1132</v>
      </c>
      <c r="N79" s="44"/>
      <c r="O79" s="44"/>
      <c r="P79" s="44">
        <f t="shared" si="29"/>
        <v>0</v>
      </c>
      <c r="Q79" s="44"/>
      <c r="R79" s="44">
        <f t="shared" si="21"/>
        <v>0</v>
      </c>
      <c r="S79" s="44"/>
      <c r="T79" s="44">
        <f t="shared" si="28"/>
        <v>13</v>
      </c>
      <c r="U79" s="44">
        <v>13</v>
      </c>
      <c r="V79" s="44"/>
      <c r="W79" s="44">
        <f t="shared" si="33"/>
        <v>1119</v>
      </c>
      <c r="X79" s="29">
        <f t="shared" si="42"/>
        <v>1119</v>
      </c>
      <c r="Y79" s="29">
        <f t="shared" si="43"/>
        <v>1119</v>
      </c>
      <c r="Z79" s="44">
        <f t="shared" si="30"/>
        <v>1119</v>
      </c>
      <c r="AA79" s="44"/>
      <c r="AB79" s="44"/>
      <c r="AC79" s="44"/>
      <c r="AD79" s="44"/>
      <c r="AE79" s="44"/>
      <c r="AF79" s="44"/>
      <c r="AG79" s="44"/>
      <c r="AH79" s="44"/>
      <c r="AI79" s="44"/>
      <c r="AJ79" s="44"/>
      <c r="AK79" s="44"/>
      <c r="AL79" s="44"/>
      <c r="AM79" s="44"/>
      <c r="AN79" s="44"/>
      <c r="AO79" s="44">
        <v>953</v>
      </c>
      <c r="AP79" s="44"/>
      <c r="AQ79" s="44"/>
      <c r="AR79" s="44"/>
      <c r="AS79" s="44"/>
      <c r="AT79" s="44"/>
      <c r="AU79" s="46"/>
      <c r="AV79" s="44"/>
      <c r="AW79" s="44"/>
      <c r="AX79" s="44"/>
      <c r="AY79" s="44"/>
      <c r="AZ79" s="44"/>
      <c r="BA79" s="44"/>
      <c r="BB79" s="44"/>
      <c r="BC79" s="44">
        <v>166</v>
      </c>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f t="shared" si="34"/>
        <v>0</v>
      </c>
      <c r="CW79" s="44">
        <f t="shared" si="35"/>
        <v>0</v>
      </c>
      <c r="CX79" s="47">
        <f t="shared" si="36"/>
        <v>953</v>
      </c>
      <c r="CY79" s="47">
        <v>0</v>
      </c>
      <c r="CZ79" s="31">
        <f t="shared" si="44"/>
        <v>0</v>
      </c>
      <c r="DA79" s="88" t="s">
        <v>404</v>
      </c>
      <c r="DB79" s="44">
        <v>953</v>
      </c>
      <c r="DC79" s="39"/>
      <c r="DD79" s="40"/>
      <c r="DE79" s="40"/>
      <c r="DF79" s="40"/>
      <c r="DG79" s="49"/>
      <c r="DH79" s="39" t="s">
        <v>337</v>
      </c>
      <c r="DI79" s="1" t="s">
        <v>509</v>
      </c>
      <c r="DJ79" s="2" t="s">
        <v>510</v>
      </c>
      <c r="DK79" s="49">
        <f>20.2+932.8</f>
        <v>953</v>
      </c>
      <c r="DL79" s="71">
        <f t="shared" si="45"/>
        <v>2.6472222222222221</v>
      </c>
      <c r="DM79" s="68">
        <f t="shared" si="37"/>
        <v>71475000</v>
      </c>
      <c r="DN79" s="68">
        <f t="shared" si="38"/>
        <v>214425000</v>
      </c>
      <c r="DO79" s="50">
        <v>2</v>
      </c>
      <c r="DP79" s="33">
        <f t="shared" si="39"/>
        <v>85.165326184092933</v>
      </c>
      <c r="DQ79" s="50">
        <v>12</v>
      </c>
      <c r="DR79" s="69">
        <f t="shared" si="46"/>
        <v>12240000</v>
      </c>
      <c r="DS79" s="49">
        <v>932.8</v>
      </c>
      <c r="DT79" s="68">
        <f t="shared" si="47"/>
        <v>27984000</v>
      </c>
      <c r="DU79" s="36">
        <f>DK79</f>
        <v>953</v>
      </c>
      <c r="DV79" s="68">
        <f t="shared" si="48"/>
        <v>9530000</v>
      </c>
      <c r="DW79" s="69">
        <f t="shared" si="40"/>
        <v>335654000</v>
      </c>
      <c r="DX79" s="34">
        <f t="shared" si="41"/>
        <v>0</v>
      </c>
    </row>
    <row r="80" spans="1:128" s="51" customFormat="1" ht="36.6" customHeight="1">
      <c r="A80" s="40">
        <v>74</v>
      </c>
      <c r="B80" s="41" t="s">
        <v>338</v>
      </c>
      <c r="C80" s="45" t="s">
        <v>339</v>
      </c>
      <c r="D80" s="39" t="s">
        <v>341</v>
      </c>
      <c r="E80" s="43" t="s">
        <v>109</v>
      </c>
      <c r="F80" s="40" t="s">
        <v>104</v>
      </c>
      <c r="G80" s="40">
        <v>85</v>
      </c>
      <c r="H80" s="40">
        <v>52</v>
      </c>
      <c r="I80" s="44">
        <v>1166</v>
      </c>
      <c r="J80" s="56" t="s">
        <v>340</v>
      </c>
      <c r="K80" s="40">
        <v>3</v>
      </c>
      <c r="L80" s="40">
        <v>4</v>
      </c>
      <c r="M80" s="44">
        <f t="shared" si="32"/>
        <v>1778</v>
      </c>
      <c r="N80" s="44"/>
      <c r="O80" s="44"/>
      <c r="P80" s="44">
        <f t="shared" si="29"/>
        <v>160</v>
      </c>
      <c r="Q80" s="44">
        <v>40</v>
      </c>
      <c r="R80" s="44">
        <f t="shared" si="21"/>
        <v>0</v>
      </c>
      <c r="S80" s="44"/>
      <c r="T80" s="44">
        <f t="shared" si="28"/>
        <v>108</v>
      </c>
      <c r="U80" s="44">
        <v>14</v>
      </c>
      <c r="V80" s="44">
        <v>94</v>
      </c>
      <c r="W80" s="44">
        <f t="shared" si="33"/>
        <v>1790</v>
      </c>
      <c r="X80" s="29">
        <f t="shared" si="42"/>
        <v>1724</v>
      </c>
      <c r="Y80" s="29">
        <f t="shared" si="43"/>
        <v>1724</v>
      </c>
      <c r="Z80" s="44">
        <f t="shared" si="30"/>
        <v>1884</v>
      </c>
      <c r="AA80" s="44"/>
      <c r="AB80" s="44"/>
      <c r="AC80" s="44"/>
      <c r="AD80" s="44"/>
      <c r="AE80" s="44"/>
      <c r="AF80" s="44"/>
      <c r="AG80" s="44"/>
      <c r="AH80" s="44"/>
      <c r="AI80" s="44"/>
      <c r="AJ80" s="44"/>
      <c r="AK80" s="44"/>
      <c r="AL80" s="44"/>
      <c r="AM80" s="44"/>
      <c r="AN80" s="44"/>
      <c r="AO80" s="44">
        <v>1166</v>
      </c>
      <c r="AP80" s="44"/>
      <c r="AQ80" s="44"/>
      <c r="AR80" s="44"/>
      <c r="AS80" s="44"/>
      <c r="AT80" s="44"/>
      <c r="AU80" s="46">
        <v>94</v>
      </c>
      <c r="AV80" s="44"/>
      <c r="AW80" s="44"/>
      <c r="AX80" s="44"/>
      <c r="AY80" s="44"/>
      <c r="AZ80" s="44"/>
      <c r="BA80" s="44"/>
      <c r="BB80" s="44"/>
      <c r="BC80" s="44"/>
      <c r="BD80" s="44">
        <v>464</v>
      </c>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f t="shared" si="34"/>
        <v>160</v>
      </c>
      <c r="CW80" s="44">
        <f t="shared" si="35"/>
        <v>0</v>
      </c>
      <c r="CX80" s="47">
        <f t="shared" si="36"/>
        <v>1166</v>
      </c>
      <c r="CY80" s="47">
        <v>0</v>
      </c>
      <c r="CZ80" s="31">
        <f t="shared" si="44"/>
        <v>0</v>
      </c>
      <c r="DA80" s="88" t="s">
        <v>404</v>
      </c>
      <c r="DB80" s="44">
        <v>1166</v>
      </c>
      <c r="DC80" s="39"/>
      <c r="DD80" s="40"/>
      <c r="DE80" s="40"/>
      <c r="DF80" s="40"/>
      <c r="DG80" s="49"/>
      <c r="DH80" s="45" t="s">
        <v>517</v>
      </c>
      <c r="DI80" s="1" t="s">
        <v>509</v>
      </c>
      <c r="DJ80" s="2" t="s">
        <v>510</v>
      </c>
      <c r="DK80" s="49">
        <f>1063.7+102.3</f>
        <v>1166</v>
      </c>
      <c r="DL80" s="71">
        <f t="shared" si="45"/>
        <v>3.2388888888888889</v>
      </c>
      <c r="DM80" s="68">
        <f t="shared" si="37"/>
        <v>87450000</v>
      </c>
      <c r="DN80" s="68">
        <f t="shared" si="38"/>
        <v>262350000</v>
      </c>
      <c r="DO80" s="50">
        <v>4</v>
      </c>
      <c r="DP80" s="33">
        <f t="shared" si="39"/>
        <v>65.139664804469277</v>
      </c>
      <c r="DQ80" s="50">
        <v>6</v>
      </c>
      <c r="DR80" s="69">
        <f t="shared" si="46"/>
        <v>12240000</v>
      </c>
      <c r="DS80" s="49">
        <v>1063.7</v>
      </c>
      <c r="DT80" s="68">
        <f t="shared" si="47"/>
        <v>31911000</v>
      </c>
      <c r="DU80" s="36">
        <f>DK80</f>
        <v>1166</v>
      </c>
      <c r="DV80" s="68">
        <f t="shared" si="48"/>
        <v>11660000</v>
      </c>
      <c r="DW80" s="69">
        <f t="shared" si="40"/>
        <v>405611000</v>
      </c>
      <c r="DX80" s="34">
        <f t="shared" si="41"/>
        <v>0</v>
      </c>
    </row>
    <row r="81" spans="1:128" s="51" customFormat="1" ht="36.6" customHeight="1">
      <c r="A81" s="40">
        <v>75</v>
      </c>
      <c r="B81" s="41" t="s">
        <v>342</v>
      </c>
      <c r="C81" s="39" t="s">
        <v>343</v>
      </c>
      <c r="D81" s="39" t="s">
        <v>471</v>
      </c>
      <c r="E81" s="43" t="s">
        <v>109</v>
      </c>
      <c r="F81" s="40" t="s">
        <v>104</v>
      </c>
      <c r="G81" s="40">
        <v>86</v>
      </c>
      <c r="H81" s="40">
        <v>52</v>
      </c>
      <c r="I81" s="44">
        <v>1555</v>
      </c>
      <c r="J81" s="56" t="s">
        <v>344</v>
      </c>
      <c r="K81" s="40">
        <v>3</v>
      </c>
      <c r="L81" s="40">
        <v>4</v>
      </c>
      <c r="M81" s="44">
        <f t="shared" si="32"/>
        <v>1778</v>
      </c>
      <c r="N81" s="44"/>
      <c r="O81" s="44"/>
      <c r="P81" s="44">
        <f t="shared" si="29"/>
        <v>0</v>
      </c>
      <c r="Q81" s="44"/>
      <c r="R81" s="44">
        <f t="shared" si="21"/>
        <v>0</v>
      </c>
      <c r="S81" s="44"/>
      <c r="T81" s="44">
        <f t="shared" si="28"/>
        <v>19</v>
      </c>
      <c r="U81" s="44">
        <v>19</v>
      </c>
      <c r="V81" s="44"/>
      <c r="W81" s="44">
        <f t="shared" si="33"/>
        <v>1759</v>
      </c>
      <c r="X81" s="29">
        <f t="shared" si="42"/>
        <v>1759</v>
      </c>
      <c r="Y81" s="29">
        <f t="shared" si="43"/>
        <v>1759</v>
      </c>
      <c r="Z81" s="44">
        <f t="shared" si="30"/>
        <v>1759</v>
      </c>
      <c r="AA81" s="44"/>
      <c r="AB81" s="44"/>
      <c r="AC81" s="44"/>
      <c r="AD81" s="44"/>
      <c r="AE81" s="44"/>
      <c r="AF81" s="44"/>
      <c r="AG81" s="44"/>
      <c r="AH81" s="44"/>
      <c r="AI81" s="44"/>
      <c r="AJ81" s="44"/>
      <c r="AK81" s="44"/>
      <c r="AL81" s="44"/>
      <c r="AM81" s="44"/>
      <c r="AN81" s="44"/>
      <c r="AO81" s="44">
        <v>1555</v>
      </c>
      <c r="AP81" s="44"/>
      <c r="AQ81" s="44"/>
      <c r="AR81" s="44"/>
      <c r="AS81" s="44"/>
      <c r="AT81" s="44"/>
      <c r="AU81" s="46"/>
      <c r="AV81" s="44"/>
      <c r="AW81" s="44"/>
      <c r="AX81" s="44"/>
      <c r="AY81" s="44"/>
      <c r="AZ81" s="44"/>
      <c r="BA81" s="44"/>
      <c r="BB81" s="44"/>
      <c r="BC81" s="44">
        <v>204</v>
      </c>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f t="shared" si="34"/>
        <v>0</v>
      </c>
      <c r="CW81" s="44">
        <f t="shared" si="35"/>
        <v>0</v>
      </c>
      <c r="CX81" s="47">
        <f t="shared" si="36"/>
        <v>1555</v>
      </c>
      <c r="CY81" s="47">
        <v>0</v>
      </c>
      <c r="CZ81" s="31">
        <f t="shared" si="44"/>
        <v>0</v>
      </c>
      <c r="DA81" s="88" t="s">
        <v>404</v>
      </c>
      <c r="DB81" s="44">
        <v>1555</v>
      </c>
      <c r="DC81" s="39"/>
      <c r="DD81" s="40"/>
      <c r="DE81" s="40"/>
      <c r="DF81" s="40"/>
      <c r="DG81" s="49"/>
      <c r="DH81" s="39" t="s">
        <v>471</v>
      </c>
      <c r="DI81" s="1" t="s">
        <v>509</v>
      </c>
      <c r="DJ81" s="2" t="s">
        <v>510</v>
      </c>
      <c r="DK81" s="49">
        <f>264.4+1290.6</f>
        <v>1555</v>
      </c>
      <c r="DL81" s="71">
        <f t="shared" si="45"/>
        <v>4.3194444444444446</v>
      </c>
      <c r="DM81" s="68">
        <f t="shared" si="37"/>
        <v>116625000</v>
      </c>
      <c r="DN81" s="68">
        <f t="shared" si="38"/>
        <v>349875000</v>
      </c>
      <c r="DO81" s="50">
        <v>4</v>
      </c>
      <c r="DP81" s="33">
        <f t="shared" si="39"/>
        <v>88.402501421262087</v>
      </c>
      <c r="DQ81" s="50">
        <v>12</v>
      </c>
      <c r="DR81" s="69">
        <f t="shared" si="46"/>
        <v>24480000</v>
      </c>
      <c r="DS81" s="49">
        <v>1290.5999999999999</v>
      </c>
      <c r="DT81" s="68">
        <f t="shared" si="47"/>
        <v>38718000</v>
      </c>
      <c r="DU81" s="36">
        <f>DK81</f>
        <v>1555</v>
      </c>
      <c r="DV81" s="68">
        <f t="shared" si="48"/>
        <v>15550000</v>
      </c>
      <c r="DW81" s="69">
        <f t="shared" si="40"/>
        <v>545248000</v>
      </c>
      <c r="DX81" s="33">
        <f t="shared" si="41"/>
        <v>0</v>
      </c>
    </row>
    <row r="82" spans="1:128" s="51" customFormat="1" ht="26.25" customHeight="1">
      <c r="A82" s="40">
        <v>76</v>
      </c>
      <c r="B82" s="41" t="s">
        <v>345</v>
      </c>
      <c r="C82" s="45" t="s">
        <v>346</v>
      </c>
      <c r="D82" s="88" t="s">
        <v>439</v>
      </c>
      <c r="E82" s="43" t="s">
        <v>109</v>
      </c>
      <c r="F82" s="40" t="s">
        <v>104</v>
      </c>
      <c r="G82" s="40">
        <v>87</v>
      </c>
      <c r="H82" s="40">
        <v>52</v>
      </c>
      <c r="I82" s="44">
        <v>1270</v>
      </c>
      <c r="J82" s="56" t="s">
        <v>347</v>
      </c>
      <c r="K82" s="40">
        <v>3</v>
      </c>
      <c r="L82" s="40">
        <v>3</v>
      </c>
      <c r="M82" s="44">
        <f t="shared" si="32"/>
        <v>1698</v>
      </c>
      <c r="N82" s="44"/>
      <c r="O82" s="44"/>
      <c r="P82" s="44">
        <f t="shared" si="29"/>
        <v>0</v>
      </c>
      <c r="Q82" s="44"/>
      <c r="R82" s="44">
        <f t="shared" si="21"/>
        <v>0</v>
      </c>
      <c r="S82" s="44"/>
      <c r="T82" s="44">
        <f t="shared" si="28"/>
        <v>256</v>
      </c>
      <c r="U82" s="44">
        <v>17</v>
      </c>
      <c r="V82" s="44">
        <f>77+162</f>
        <v>239</v>
      </c>
      <c r="W82" s="44">
        <f t="shared" si="33"/>
        <v>1442</v>
      </c>
      <c r="X82" s="29">
        <f t="shared" si="42"/>
        <v>1681</v>
      </c>
      <c r="Y82" s="29">
        <f t="shared" si="43"/>
        <v>1681</v>
      </c>
      <c r="Z82" s="44">
        <f t="shared" si="30"/>
        <v>1681</v>
      </c>
      <c r="AA82" s="44"/>
      <c r="AB82" s="44"/>
      <c r="AC82" s="44"/>
      <c r="AD82" s="44"/>
      <c r="AE82" s="44"/>
      <c r="AF82" s="44"/>
      <c r="AG82" s="44"/>
      <c r="AH82" s="44"/>
      <c r="AI82" s="44"/>
      <c r="AJ82" s="44"/>
      <c r="AK82" s="44"/>
      <c r="AL82" s="44"/>
      <c r="AM82" s="44"/>
      <c r="AN82" s="44"/>
      <c r="AO82" s="44">
        <v>1270</v>
      </c>
      <c r="AP82" s="44"/>
      <c r="AQ82" s="44"/>
      <c r="AR82" s="44"/>
      <c r="AS82" s="44"/>
      <c r="AT82" s="44"/>
      <c r="AU82" s="46">
        <f>162+77</f>
        <v>239</v>
      </c>
      <c r="AV82" s="44"/>
      <c r="AW82" s="44"/>
      <c r="AX82" s="44"/>
      <c r="AY82" s="44"/>
      <c r="AZ82" s="44"/>
      <c r="BA82" s="44"/>
      <c r="BB82" s="44"/>
      <c r="BC82" s="44"/>
      <c r="BD82" s="44"/>
      <c r="BE82" s="44"/>
      <c r="BF82" s="44"/>
      <c r="BG82" s="44"/>
      <c r="BH82" s="44">
        <v>172</v>
      </c>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f t="shared" si="34"/>
        <v>0</v>
      </c>
      <c r="CW82" s="44">
        <f t="shared" si="35"/>
        <v>0</v>
      </c>
      <c r="CX82" s="47">
        <f t="shared" si="36"/>
        <v>1270</v>
      </c>
      <c r="CY82" s="47">
        <v>0</v>
      </c>
      <c r="CZ82" s="31">
        <f t="shared" si="44"/>
        <v>0</v>
      </c>
      <c r="DA82" s="88" t="s">
        <v>404</v>
      </c>
      <c r="DB82" s="44">
        <v>1270</v>
      </c>
      <c r="DC82" s="39"/>
      <c r="DD82" s="40"/>
      <c r="DE82" s="40"/>
      <c r="DF82" s="40"/>
      <c r="DG82" s="49"/>
      <c r="DH82" s="45" t="s">
        <v>439</v>
      </c>
      <c r="DI82" s="1" t="s">
        <v>509</v>
      </c>
      <c r="DJ82" s="2" t="s">
        <v>510</v>
      </c>
      <c r="DK82" s="49">
        <f>943.3+326.7</f>
        <v>1270</v>
      </c>
      <c r="DL82" s="71">
        <f t="shared" si="45"/>
        <v>3.5277777777777777</v>
      </c>
      <c r="DM82" s="68">
        <f t="shared" si="37"/>
        <v>95250000</v>
      </c>
      <c r="DN82" s="68">
        <f t="shared" si="38"/>
        <v>285750000</v>
      </c>
      <c r="DO82" s="50">
        <v>3</v>
      </c>
      <c r="DP82" s="33">
        <f t="shared" si="39"/>
        <v>88.072122052704586</v>
      </c>
      <c r="DQ82" s="50">
        <v>12</v>
      </c>
      <c r="DR82" s="69">
        <f t="shared" si="46"/>
        <v>18360000</v>
      </c>
      <c r="DS82" s="49">
        <v>943.3</v>
      </c>
      <c r="DT82" s="68">
        <f t="shared" si="47"/>
        <v>28299000</v>
      </c>
      <c r="DU82" s="36">
        <f>DK82</f>
        <v>1270</v>
      </c>
      <c r="DV82" s="68">
        <f t="shared" si="48"/>
        <v>12700000</v>
      </c>
      <c r="DW82" s="69">
        <f t="shared" si="40"/>
        <v>440359000</v>
      </c>
      <c r="DX82" s="33">
        <f t="shared" si="41"/>
        <v>0</v>
      </c>
    </row>
    <row r="83" spans="1:128" s="51" customFormat="1" ht="25.5" customHeight="1">
      <c r="A83" s="40">
        <v>77</v>
      </c>
      <c r="B83" s="41" t="s">
        <v>348</v>
      </c>
      <c r="C83" s="45" t="s">
        <v>349</v>
      </c>
      <c r="D83" s="88" t="s">
        <v>351</v>
      </c>
      <c r="E83" s="43" t="s">
        <v>109</v>
      </c>
      <c r="F83" s="40" t="s">
        <v>104</v>
      </c>
      <c r="G83" s="40">
        <v>88</v>
      </c>
      <c r="H83" s="40">
        <v>52</v>
      </c>
      <c r="I83" s="44">
        <v>586</v>
      </c>
      <c r="J83" s="56" t="s">
        <v>350</v>
      </c>
      <c r="K83" s="40">
        <v>2</v>
      </c>
      <c r="L83" s="40">
        <v>3</v>
      </c>
      <c r="M83" s="44">
        <f t="shared" si="32"/>
        <v>1212</v>
      </c>
      <c r="N83" s="44"/>
      <c r="O83" s="44"/>
      <c r="P83" s="44">
        <f t="shared" si="29"/>
        <v>0</v>
      </c>
      <c r="Q83" s="44"/>
      <c r="R83" s="44">
        <f t="shared" si="21"/>
        <v>0</v>
      </c>
      <c r="S83" s="44"/>
      <c r="T83" s="44">
        <f t="shared" si="28"/>
        <v>626</v>
      </c>
      <c r="U83" s="44">
        <v>12</v>
      </c>
      <c r="V83" s="44">
        <f>194+420</f>
        <v>614</v>
      </c>
      <c r="W83" s="44">
        <f t="shared" si="33"/>
        <v>586</v>
      </c>
      <c r="X83" s="29">
        <f t="shared" si="42"/>
        <v>1200</v>
      </c>
      <c r="Y83" s="29">
        <f t="shared" si="43"/>
        <v>1200</v>
      </c>
      <c r="Z83" s="44">
        <f t="shared" si="30"/>
        <v>1200</v>
      </c>
      <c r="AA83" s="44"/>
      <c r="AB83" s="44"/>
      <c r="AC83" s="44"/>
      <c r="AD83" s="44"/>
      <c r="AE83" s="44"/>
      <c r="AF83" s="44"/>
      <c r="AG83" s="44"/>
      <c r="AH83" s="44"/>
      <c r="AI83" s="44"/>
      <c r="AJ83" s="44"/>
      <c r="AK83" s="44"/>
      <c r="AL83" s="44"/>
      <c r="AM83" s="44"/>
      <c r="AN83" s="44"/>
      <c r="AO83" s="44">
        <v>586</v>
      </c>
      <c r="AP83" s="44">
        <v>420</v>
      </c>
      <c r="AQ83" s="44"/>
      <c r="AR83" s="44"/>
      <c r="AS83" s="44"/>
      <c r="AT83" s="44"/>
      <c r="AU83" s="46"/>
      <c r="AV83" s="44"/>
      <c r="AW83" s="44"/>
      <c r="AX83" s="44"/>
      <c r="AY83" s="44"/>
      <c r="AZ83" s="44"/>
      <c r="BA83" s="44"/>
      <c r="BB83" s="44"/>
      <c r="BC83" s="44">
        <v>194</v>
      </c>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f t="shared" si="34"/>
        <v>0</v>
      </c>
      <c r="CW83" s="44">
        <f t="shared" si="35"/>
        <v>0</v>
      </c>
      <c r="CX83" s="47">
        <f t="shared" si="36"/>
        <v>586</v>
      </c>
      <c r="CY83" s="47">
        <v>0</v>
      </c>
      <c r="CZ83" s="31">
        <f t="shared" si="44"/>
        <v>0</v>
      </c>
      <c r="DA83" s="88" t="s">
        <v>404</v>
      </c>
      <c r="DB83" s="44">
        <v>586</v>
      </c>
      <c r="DC83" s="39"/>
      <c r="DD83" s="40"/>
      <c r="DE83" s="40"/>
      <c r="DF83" s="40"/>
      <c r="DG83" s="49"/>
      <c r="DH83" s="45" t="s">
        <v>351</v>
      </c>
      <c r="DI83" s="1" t="s">
        <v>509</v>
      </c>
      <c r="DJ83" s="2" t="s">
        <v>510</v>
      </c>
      <c r="DK83" s="49">
        <f>185.5+400.5</f>
        <v>586</v>
      </c>
      <c r="DL83" s="71">
        <f t="shared" si="45"/>
        <v>1.6277777777777778</v>
      </c>
      <c r="DM83" s="68">
        <f t="shared" si="37"/>
        <v>43950000</v>
      </c>
      <c r="DN83" s="68">
        <f t="shared" si="38"/>
        <v>131850000</v>
      </c>
      <c r="DO83" s="50">
        <v>5</v>
      </c>
      <c r="DP83" s="33">
        <f t="shared" si="39"/>
        <v>100</v>
      </c>
      <c r="DQ83" s="50">
        <v>12</v>
      </c>
      <c r="DR83" s="69">
        <f t="shared" si="46"/>
        <v>30600000</v>
      </c>
      <c r="DS83" s="49">
        <v>400.5</v>
      </c>
      <c r="DT83" s="68">
        <f t="shared" si="47"/>
        <v>12015000</v>
      </c>
      <c r="DU83" s="36">
        <f>DK83</f>
        <v>586</v>
      </c>
      <c r="DV83" s="68">
        <f t="shared" si="48"/>
        <v>5860000</v>
      </c>
      <c r="DW83" s="69">
        <f t="shared" si="40"/>
        <v>224275000</v>
      </c>
      <c r="DX83" s="33">
        <f t="shared" si="41"/>
        <v>0</v>
      </c>
    </row>
    <row r="84" spans="1:128" s="38" customFormat="1" ht="36.6" customHeight="1">
      <c r="A84" s="26">
        <v>78</v>
      </c>
      <c r="B84" s="27" t="s">
        <v>353</v>
      </c>
      <c r="C84" s="89" t="s">
        <v>354</v>
      </c>
      <c r="D84" s="89" t="s">
        <v>472</v>
      </c>
      <c r="E84" s="87" t="s">
        <v>109</v>
      </c>
      <c r="F84" s="28" t="s">
        <v>104</v>
      </c>
      <c r="G84" s="26">
        <v>675</v>
      </c>
      <c r="H84" s="26">
        <v>49</v>
      </c>
      <c r="I84" s="29">
        <f>2.3+557</f>
        <v>559.29999999999995</v>
      </c>
      <c r="J84" s="88" t="s">
        <v>355</v>
      </c>
      <c r="K84" s="26">
        <v>1</v>
      </c>
      <c r="L84" s="26">
        <v>3</v>
      </c>
      <c r="M84" s="29">
        <f t="shared" si="32"/>
        <v>726</v>
      </c>
      <c r="N84" s="29"/>
      <c r="O84" s="29"/>
      <c r="P84" s="29">
        <f t="shared" si="29"/>
        <v>0</v>
      </c>
      <c r="Q84" s="29"/>
      <c r="R84" s="29">
        <f t="shared" si="21"/>
        <v>0</v>
      </c>
      <c r="S84" s="29"/>
      <c r="T84" s="29">
        <f t="shared" si="28"/>
        <v>169</v>
      </c>
      <c r="U84" s="29">
        <v>9</v>
      </c>
      <c r="V84" s="29">
        <v>160</v>
      </c>
      <c r="W84" s="29">
        <f t="shared" si="33"/>
        <v>557</v>
      </c>
      <c r="X84" s="29">
        <f t="shared" si="42"/>
        <v>717</v>
      </c>
      <c r="Y84" s="29">
        <f t="shared" si="43"/>
        <v>717</v>
      </c>
      <c r="Z84" s="29">
        <f t="shared" si="30"/>
        <v>717</v>
      </c>
      <c r="AA84" s="29"/>
      <c r="AB84" s="29"/>
      <c r="AC84" s="29"/>
      <c r="AD84" s="29"/>
      <c r="AE84" s="29"/>
      <c r="AF84" s="29"/>
      <c r="AG84" s="29"/>
      <c r="AH84" s="29"/>
      <c r="AI84" s="29"/>
      <c r="AJ84" s="29"/>
      <c r="AK84" s="29"/>
      <c r="AL84" s="29"/>
      <c r="AM84" s="29"/>
      <c r="AN84" s="29"/>
      <c r="AO84" s="29"/>
      <c r="AP84" s="29">
        <v>717</v>
      </c>
      <c r="AQ84" s="29"/>
      <c r="AR84" s="29"/>
      <c r="AS84" s="29"/>
      <c r="AT84" s="29"/>
      <c r="AU84" s="30"/>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f t="shared" si="34"/>
        <v>0</v>
      </c>
      <c r="CW84" s="29">
        <f t="shared" si="35"/>
        <v>0</v>
      </c>
      <c r="CX84" s="31">
        <f t="shared" si="36"/>
        <v>559.29999999999995</v>
      </c>
      <c r="CY84" s="31">
        <v>2.2999999999999998</v>
      </c>
      <c r="CZ84" s="31">
        <f t="shared" si="44"/>
        <v>0</v>
      </c>
      <c r="DA84" s="88" t="s">
        <v>404</v>
      </c>
      <c r="DB84" s="29">
        <f>717-160</f>
        <v>557</v>
      </c>
      <c r="DC84" s="89"/>
      <c r="DD84" s="26"/>
      <c r="DE84" s="26"/>
      <c r="DF84" s="26"/>
      <c r="DG84" s="33"/>
      <c r="DH84" s="39" t="s">
        <v>472</v>
      </c>
      <c r="DI84" s="1" t="s">
        <v>508</v>
      </c>
      <c r="DJ84" s="2" t="s">
        <v>511</v>
      </c>
      <c r="DK84" s="33">
        <v>557</v>
      </c>
      <c r="DL84" s="71">
        <f t="shared" si="45"/>
        <v>1.5472222222222223</v>
      </c>
      <c r="DM84" s="68">
        <f t="shared" si="37"/>
        <v>41775000</v>
      </c>
      <c r="DN84" s="68">
        <f t="shared" si="38"/>
        <v>125325000</v>
      </c>
      <c r="DO84" s="35">
        <v>4</v>
      </c>
      <c r="DP84" s="33">
        <f t="shared" si="39"/>
        <v>100</v>
      </c>
      <c r="DQ84" s="35">
        <v>12</v>
      </c>
      <c r="DR84" s="69">
        <f t="shared" si="46"/>
        <v>24480000</v>
      </c>
      <c r="DS84" s="33">
        <v>557</v>
      </c>
      <c r="DT84" s="68">
        <f t="shared" si="47"/>
        <v>16710000</v>
      </c>
      <c r="DU84" s="36">
        <f>2.3+557</f>
        <v>559.29999999999995</v>
      </c>
      <c r="DV84" s="68">
        <f t="shared" si="48"/>
        <v>5570000</v>
      </c>
      <c r="DW84" s="69">
        <f t="shared" si="40"/>
        <v>213860000</v>
      </c>
      <c r="DX84" s="33">
        <f t="shared" si="41"/>
        <v>0</v>
      </c>
    </row>
    <row r="85" spans="1:128" s="38" customFormat="1" ht="55.5" customHeight="1">
      <c r="A85" s="26">
        <v>79</v>
      </c>
      <c r="B85" s="27" t="s">
        <v>356</v>
      </c>
      <c r="C85" s="89" t="s">
        <v>357</v>
      </c>
      <c r="D85" s="88" t="s">
        <v>440</v>
      </c>
      <c r="E85" s="87" t="s">
        <v>109</v>
      </c>
      <c r="F85" s="28" t="s">
        <v>104</v>
      </c>
      <c r="G85" s="26">
        <v>676</v>
      </c>
      <c r="H85" s="26">
        <v>49</v>
      </c>
      <c r="I85" s="29">
        <f>3.4+1763.5</f>
        <v>1766.9</v>
      </c>
      <c r="J85" s="88" t="s">
        <v>358</v>
      </c>
      <c r="K85" s="26">
        <v>4</v>
      </c>
      <c r="L85" s="26">
        <v>5</v>
      </c>
      <c r="M85" s="29">
        <f t="shared" si="32"/>
        <v>2344</v>
      </c>
      <c r="N85" s="29"/>
      <c r="O85" s="29"/>
      <c r="P85" s="29">
        <f t="shared" si="29"/>
        <v>0</v>
      </c>
      <c r="Q85" s="29"/>
      <c r="R85" s="29">
        <f t="shared" ref="R85:R90" si="49">S85*2</f>
        <v>105</v>
      </c>
      <c r="S85" s="29">
        <v>52.5</v>
      </c>
      <c r="T85" s="29">
        <f t="shared" si="28"/>
        <v>528</v>
      </c>
      <c r="U85" s="29">
        <v>21</v>
      </c>
      <c r="V85" s="29">
        <f>207+300</f>
        <v>507</v>
      </c>
      <c r="W85" s="29">
        <f t="shared" si="33"/>
        <v>1868.5</v>
      </c>
      <c r="X85" s="29">
        <f t="shared" si="42"/>
        <v>2270.5</v>
      </c>
      <c r="Y85" s="29">
        <f t="shared" si="43"/>
        <v>2270.5</v>
      </c>
      <c r="Z85" s="29">
        <f t="shared" si="30"/>
        <v>2375.5</v>
      </c>
      <c r="AA85" s="29"/>
      <c r="AB85" s="29"/>
      <c r="AC85" s="29"/>
      <c r="AD85" s="29"/>
      <c r="AE85" s="29"/>
      <c r="AF85" s="29"/>
      <c r="AG85" s="29"/>
      <c r="AH85" s="29"/>
      <c r="AI85" s="29"/>
      <c r="AJ85" s="29"/>
      <c r="AK85" s="29"/>
      <c r="AL85" s="29"/>
      <c r="AM85" s="29"/>
      <c r="AN85" s="29"/>
      <c r="AO85" s="29"/>
      <c r="AP85" s="29">
        <v>1763.5</v>
      </c>
      <c r="AQ85" s="29"/>
      <c r="AR85" s="29"/>
      <c r="AS85" s="29"/>
      <c r="AT85" s="29"/>
      <c r="AU85" s="30"/>
      <c r="AV85" s="29"/>
      <c r="AW85" s="29"/>
      <c r="AX85" s="29"/>
      <c r="AY85" s="29"/>
      <c r="AZ85" s="29"/>
      <c r="BA85" s="29"/>
      <c r="BB85" s="29"/>
      <c r="BC85" s="29">
        <v>300</v>
      </c>
      <c r="BD85" s="29"/>
      <c r="BE85" s="29"/>
      <c r="BF85" s="29"/>
      <c r="BG85" s="29">
        <v>207</v>
      </c>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f t="shared" si="34"/>
        <v>0</v>
      </c>
      <c r="CW85" s="29">
        <f t="shared" si="35"/>
        <v>105</v>
      </c>
      <c r="CX85" s="31">
        <f t="shared" si="36"/>
        <v>1763.5</v>
      </c>
      <c r="CY85" s="31">
        <v>0</v>
      </c>
      <c r="CZ85" s="31">
        <f t="shared" si="44"/>
        <v>3.4000000000000909</v>
      </c>
      <c r="DA85" s="88" t="s">
        <v>405</v>
      </c>
      <c r="DB85" s="29">
        <v>1763.5</v>
      </c>
      <c r="DC85" s="89"/>
      <c r="DD85" s="26"/>
      <c r="DE85" s="26"/>
      <c r="DF85" s="26"/>
      <c r="DG85" s="33"/>
      <c r="DH85" s="45" t="s">
        <v>503</v>
      </c>
      <c r="DI85" s="1" t="s">
        <v>508</v>
      </c>
      <c r="DJ85" s="2" t="s">
        <v>511</v>
      </c>
      <c r="DK85" s="33">
        <f>90.9+1672.6</f>
        <v>1763.5</v>
      </c>
      <c r="DL85" s="71">
        <f t="shared" si="45"/>
        <v>4.8986111111111112</v>
      </c>
      <c r="DM85" s="68">
        <f t="shared" si="37"/>
        <v>132263000</v>
      </c>
      <c r="DN85" s="68">
        <f t="shared" si="38"/>
        <v>396788000</v>
      </c>
      <c r="DO85" s="35">
        <v>4</v>
      </c>
      <c r="DP85" s="33">
        <f t="shared" si="39"/>
        <v>94.38051913299438</v>
      </c>
      <c r="DQ85" s="35">
        <v>12</v>
      </c>
      <c r="DR85" s="69">
        <f t="shared" si="46"/>
        <v>24480000</v>
      </c>
      <c r="DS85" s="33">
        <v>1672.6</v>
      </c>
      <c r="DT85" s="68">
        <f t="shared" si="47"/>
        <v>50178000</v>
      </c>
      <c r="DU85" s="36">
        <f>90.9+1672.6</f>
        <v>1763.5</v>
      </c>
      <c r="DV85" s="68">
        <f t="shared" si="48"/>
        <v>17635000</v>
      </c>
      <c r="DW85" s="69">
        <f t="shared" si="40"/>
        <v>621344000</v>
      </c>
      <c r="DX85" s="34">
        <f t="shared" si="41"/>
        <v>3.4000000000000909</v>
      </c>
    </row>
    <row r="86" spans="1:128" s="38" customFormat="1" ht="21" customHeight="1">
      <c r="A86" s="26">
        <v>80</v>
      </c>
      <c r="B86" s="27" t="s">
        <v>359</v>
      </c>
      <c r="C86" s="89" t="s">
        <v>360</v>
      </c>
      <c r="D86" s="88" t="s">
        <v>362</v>
      </c>
      <c r="E86" s="87" t="s">
        <v>109</v>
      </c>
      <c r="F86" s="28" t="s">
        <v>104</v>
      </c>
      <c r="G86" s="26">
        <v>677</v>
      </c>
      <c r="H86" s="26">
        <v>49</v>
      </c>
      <c r="I86" s="29">
        <f>2.2+1579</f>
        <v>1581.2</v>
      </c>
      <c r="J86" s="88" t="s">
        <v>361</v>
      </c>
      <c r="K86" s="26">
        <v>3</v>
      </c>
      <c r="L86" s="26">
        <v>4</v>
      </c>
      <c r="M86" s="29">
        <f t="shared" si="32"/>
        <v>1778</v>
      </c>
      <c r="N86" s="29"/>
      <c r="O86" s="29"/>
      <c r="P86" s="29">
        <f t="shared" si="29"/>
        <v>0</v>
      </c>
      <c r="Q86" s="29"/>
      <c r="R86" s="29">
        <f t="shared" si="49"/>
        <v>0</v>
      </c>
      <c r="S86" s="29"/>
      <c r="T86" s="29">
        <f t="shared" si="28"/>
        <v>89</v>
      </c>
      <c r="U86" s="29">
        <v>20</v>
      </c>
      <c r="V86" s="29">
        <v>69</v>
      </c>
      <c r="W86" s="29">
        <f t="shared" si="33"/>
        <v>1689</v>
      </c>
      <c r="X86" s="29">
        <f t="shared" si="42"/>
        <v>1758</v>
      </c>
      <c r="Y86" s="29">
        <f t="shared" si="43"/>
        <v>1758</v>
      </c>
      <c r="Z86" s="29">
        <f t="shared" si="30"/>
        <v>1758</v>
      </c>
      <c r="AA86" s="29"/>
      <c r="AB86" s="29"/>
      <c r="AC86" s="29"/>
      <c r="AD86" s="29"/>
      <c r="AE86" s="29"/>
      <c r="AF86" s="29"/>
      <c r="AG86" s="29"/>
      <c r="AH86" s="29"/>
      <c r="AI86" s="29"/>
      <c r="AJ86" s="29"/>
      <c r="AK86" s="29"/>
      <c r="AL86" s="29"/>
      <c r="AM86" s="29"/>
      <c r="AN86" s="29"/>
      <c r="AO86" s="29"/>
      <c r="AP86" s="29">
        <v>1579</v>
      </c>
      <c r="AQ86" s="29"/>
      <c r="AR86" s="29"/>
      <c r="AS86" s="29"/>
      <c r="AT86" s="29"/>
      <c r="AU86" s="30"/>
      <c r="AV86" s="29"/>
      <c r="AW86" s="29"/>
      <c r="AX86" s="29"/>
      <c r="AY86" s="29"/>
      <c r="AZ86" s="29"/>
      <c r="BA86" s="29"/>
      <c r="BB86" s="29"/>
      <c r="BC86" s="29">
        <v>110</v>
      </c>
      <c r="BD86" s="29"/>
      <c r="BE86" s="29"/>
      <c r="BF86" s="29"/>
      <c r="BG86" s="29">
        <v>69</v>
      </c>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f t="shared" si="34"/>
        <v>0</v>
      </c>
      <c r="CW86" s="29">
        <f t="shared" si="35"/>
        <v>0</v>
      </c>
      <c r="CX86" s="31">
        <f t="shared" si="36"/>
        <v>1579</v>
      </c>
      <c r="CY86" s="31">
        <v>0</v>
      </c>
      <c r="CZ86" s="31">
        <f t="shared" si="44"/>
        <v>2.2000000000000455</v>
      </c>
      <c r="DA86" s="88" t="s">
        <v>405</v>
      </c>
      <c r="DB86" s="29">
        <v>1579</v>
      </c>
      <c r="DC86" s="89"/>
      <c r="DD86" s="26"/>
      <c r="DE86" s="26"/>
      <c r="DF86" s="26"/>
      <c r="DG86" s="33"/>
      <c r="DH86" s="45" t="s">
        <v>531</v>
      </c>
      <c r="DI86" s="1" t="s">
        <v>508</v>
      </c>
      <c r="DJ86" s="2" t="s">
        <v>511</v>
      </c>
      <c r="DK86" s="33">
        <f>250+1329</f>
        <v>1579</v>
      </c>
      <c r="DL86" s="71">
        <f t="shared" si="45"/>
        <v>4.3861111111111111</v>
      </c>
      <c r="DM86" s="68">
        <f t="shared" si="37"/>
        <v>118425000</v>
      </c>
      <c r="DN86" s="68">
        <f t="shared" si="38"/>
        <v>355275000</v>
      </c>
      <c r="DO86" s="35">
        <v>3</v>
      </c>
      <c r="DP86" s="33">
        <f t="shared" si="39"/>
        <v>93.487270574304333</v>
      </c>
      <c r="DQ86" s="35">
        <v>12</v>
      </c>
      <c r="DR86" s="69">
        <f t="shared" si="46"/>
        <v>18360000</v>
      </c>
      <c r="DS86" s="33">
        <v>1329</v>
      </c>
      <c r="DT86" s="68">
        <f t="shared" si="47"/>
        <v>39870000</v>
      </c>
      <c r="DU86" s="36">
        <f>DK86</f>
        <v>1579</v>
      </c>
      <c r="DV86" s="68">
        <f t="shared" si="48"/>
        <v>15790000</v>
      </c>
      <c r="DW86" s="69">
        <f t="shared" si="40"/>
        <v>547720000</v>
      </c>
      <c r="DX86" s="33">
        <f t="shared" si="41"/>
        <v>2.2000000000000455</v>
      </c>
    </row>
    <row r="87" spans="1:128" s="38" customFormat="1" ht="36.6" customHeight="1">
      <c r="A87" s="26">
        <v>81</v>
      </c>
      <c r="B87" s="27" t="s">
        <v>363</v>
      </c>
      <c r="C87" s="89" t="s">
        <v>364</v>
      </c>
      <c r="D87" s="89" t="s">
        <v>473</v>
      </c>
      <c r="E87" s="87" t="s">
        <v>201</v>
      </c>
      <c r="F87" s="28" t="s">
        <v>104</v>
      </c>
      <c r="G87" s="26">
        <v>678</v>
      </c>
      <c r="H87" s="26">
        <v>49</v>
      </c>
      <c r="I87" s="29">
        <f>1.4+1133</f>
        <v>1134.4000000000001</v>
      </c>
      <c r="J87" s="88" t="s">
        <v>365</v>
      </c>
      <c r="K87" s="26">
        <v>2</v>
      </c>
      <c r="L87" s="26">
        <v>4</v>
      </c>
      <c r="M87" s="29">
        <f t="shared" si="32"/>
        <v>1292</v>
      </c>
      <c r="N87" s="29"/>
      <c r="O87" s="29"/>
      <c r="P87" s="29">
        <f t="shared" si="29"/>
        <v>0</v>
      </c>
      <c r="Q87" s="29"/>
      <c r="R87" s="29">
        <f t="shared" si="49"/>
        <v>0</v>
      </c>
      <c r="S87" s="29"/>
      <c r="T87" s="29">
        <f t="shared" si="28"/>
        <v>14</v>
      </c>
      <c r="U87" s="29">
        <v>14</v>
      </c>
      <c r="V87" s="29"/>
      <c r="W87" s="29">
        <f t="shared" si="33"/>
        <v>1278</v>
      </c>
      <c r="X87" s="29">
        <f t="shared" si="42"/>
        <v>1278</v>
      </c>
      <c r="Y87" s="29">
        <f t="shared" si="43"/>
        <v>1278</v>
      </c>
      <c r="Z87" s="29">
        <f t="shared" si="30"/>
        <v>1278</v>
      </c>
      <c r="AA87" s="29"/>
      <c r="AB87" s="29"/>
      <c r="AC87" s="29"/>
      <c r="AD87" s="29"/>
      <c r="AE87" s="29"/>
      <c r="AF87" s="29"/>
      <c r="AG87" s="29"/>
      <c r="AH87" s="29"/>
      <c r="AI87" s="29"/>
      <c r="AJ87" s="29"/>
      <c r="AK87" s="29"/>
      <c r="AL87" s="29"/>
      <c r="AM87" s="29"/>
      <c r="AN87" s="29"/>
      <c r="AO87" s="29"/>
      <c r="AP87" s="29">
        <v>1133</v>
      </c>
      <c r="AQ87" s="29"/>
      <c r="AR87" s="29"/>
      <c r="AS87" s="29"/>
      <c r="AT87" s="29"/>
      <c r="AU87" s="30"/>
      <c r="AV87" s="29"/>
      <c r="AW87" s="29"/>
      <c r="AX87" s="29"/>
      <c r="AY87" s="29"/>
      <c r="AZ87" s="29"/>
      <c r="BA87" s="29"/>
      <c r="BB87" s="29"/>
      <c r="BC87" s="29"/>
      <c r="BD87" s="29">
        <f>7+138</f>
        <v>145</v>
      </c>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f t="shared" si="34"/>
        <v>0</v>
      </c>
      <c r="CW87" s="29">
        <f t="shared" si="35"/>
        <v>0</v>
      </c>
      <c r="CX87" s="31">
        <f t="shared" si="36"/>
        <v>1133</v>
      </c>
      <c r="CY87" s="31">
        <v>0</v>
      </c>
      <c r="CZ87" s="31">
        <f t="shared" si="44"/>
        <v>1.4000000000000909</v>
      </c>
      <c r="DA87" s="88" t="s">
        <v>405</v>
      </c>
      <c r="DB87" s="29">
        <v>1133</v>
      </c>
      <c r="DC87" s="89"/>
      <c r="DD87" s="26"/>
      <c r="DE87" s="26"/>
      <c r="DF87" s="26"/>
      <c r="DG87" s="33"/>
      <c r="DH87" s="39" t="s">
        <v>473</v>
      </c>
      <c r="DI87" s="1" t="s">
        <v>508</v>
      </c>
      <c r="DJ87" s="2" t="s">
        <v>511</v>
      </c>
      <c r="DK87" s="33">
        <f>268+865</f>
        <v>1133</v>
      </c>
      <c r="DL87" s="71">
        <f t="shared" si="45"/>
        <v>3.1472222222222221</v>
      </c>
      <c r="DM87" s="68">
        <f t="shared" si="37"/>
        <v>84975000</v>
      </c>
      <c r="DN87" s="68">
        <f t="shared" si="38"/>
        <v>254925000</v>
      </c>
      <c r="DO87" s="35">
        <v>6</v>
      </c>
      <c r="DP87" s="33">
        <f t="shared" si="39"/>
        <v>88.654147104851333</v>
      </c>
      <c r="DQ87" s="35">
        <v>12</v>
      </c>
      <c r="DR87" s="69">
        <f t="shared" si="46"/>
        <v>36720000</v>
      </c>
      <c r="DS87" s="33">
        <v>865.00000000000011</v>
      </c>
      <c r="DT87" s="68">
        <f t="shared" si="47"/>
        <v>25950000</v>
      </c>
      <c r="DU87" s="36">
        <f>DK87</f>
        <v>1133</v>
      </c>
      <c r="DV87" s="68">
        <f t="shared" si="48"/>
        <v>11330000</v>
      </c>
      <c r="DW87" s="69">
        <f t="shared" si="40"/>
        <v>413900000</v>
      </c>
      <c r="DX87" s="33">
        <f t="shared" si="41"/>
        <v>1.4000000000000909</v>
      </c>
    </row>
    <row r="88" spans="1:128" s="38" customFormat="1" ht="24.75" customHeight="1">
      <c r="A88" s="26">
        <v>82</v>
      </c>
      <c r="B88" s="27" t="s">
        <v>366</v>
      </c>
      <c r="C88" s="89" t="s">
        <v>367</v>
      </c>
      <c r="D88" s="88" t="s">
        <v>441</v>
      </c>
      <c r="E88" s="87" t="s">
        <v>109</v>
      </c>
      <c r="F88" s="28" t="s">
        <v>104</v>
      </c>
      <c r="G88" s="26">
        <v>679</v>
      </c>
      <c r="H88" s="26">
        <v>49</v>
      </c>
      <c r="I88" s="29">
        <f>1.6+1966</f>
        <v>1967.6</v>
      </c>
      <c r="J88" s="88" t="s">
        <v>368</v>
      </c>
      <c r="K88" s="26">
        <v>4</v>
      </c>
      <c r="L88" s="26">
        <v>4</v>
      </c>
      <c r="M88" s="29">
        <f t="shared" si="32"/>
        <v>2264</v>
      </c>
      <c r="N88" s="29"/>
      <c r="O88" s="29"/>
      <c r="P88" s="29">
        <f t="shared" si="29"/>
        <v>0</v>
      </c>
      <c r="Q88" s="29"/>
      <c r="R88" s="29">
        <f t="shared" si="49"/>
        <v>0</v>
      </c>
      <c r="S88" s="29"/>
      <c r="T88" s="29">
        <f t="shared" si="28"/>
        <v>24</v>
      </c>
      <c r="U88" s="29">
        <v>24</v>
      </c>
      <c r="V88" s="29"/>
      <c r="W88" s="29">
        <f t="shared" si="33"/>
        <v>2240</v>
      </c>
      <c r="X88" s="29">
        <f t="shared" si="42"/>
        <v>2240</v>
      </c>
      <c r="Y88" s="29">
        <f t="shared" si="43"/>
        <v>2240</v>
      </c>
      <c r="Z88" s="29">
        <f t="shared" si="30"/>
        <v>2240</v>
      </c>
      <c r="AA88" s="29"/>
      <c r="AB88" s="29"/>
      <c r="AC88" s="29"/>
      <c r="AD88" s="29"/>
      <c r="AE88" s="29"/>
      <c r="AF88" s="29"/>
      <c r="AG88" s="29"/>
      <c r="AH88" s="29"/>
      <c r="AI88" s="29"/>
      <c r="AJ88" s="29"/>
      <c r="AK88" s="29"/>
      <c r="AL88" s="29"/>
      <c r="AM88" s="29"/>
      <c r="AN88" s="29"/>
      <c r="AO88" s="29"/>
      <c r="AP88" s="29">
        <v>1966</v>
      </c>
      <c r="AQ88" s="29"/>
      <c r="AR88" s="29"/>
      <c r="AS88" s="29"/>
      <c r="AT88" s="29"/>
      <c r="AU88" s="30"/>
      <c r="AV88" s="29"/>
      <c r="AW88" s="29"/>
      <c r="AX88" s="29"/>
      <c r="AY88" s="29"/>
      <c r="AZ88" s="29"/>
      <c r="BA88" s="29"/>
      <c r="BB88" s="29"/>
      <c r="BC88" s="29">
        <v>138</v>
      </c>
      <c r="BD88" s="29">
        <v>136</v>
      </c>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f t="shared" si="34"/>
        <v>0</v>
      </c>
      <c r="CW88" s="29">
        <f t="shared" si="35"/>
        <v>0</v>
      </c>
      <c r="CX88" s="31">
        <f t="shared" si="36"/>
        <v>1313</v>
      </c>
      <c r="CY88" s="31">
        <v>0</v>
      </c>
      <c r="CZ88" s="31">
        <f t="shared" si="44"/>
        <v>654.59999999999991</v>
      </c>
      <c r="DA88" s="88" t="s">
        <v>405</v>
      </c>
      <c r="DB88" s="29">
        <v>1966</v>
      </c>
      <c r="DC88" s="89"/>
      <c r="DD88" s="26"/>
      <c r="DE88" s="26"/>
      <c r="DF88" s="26"/>
      <c r="DG88" s="33"/>
      <c r="DH88" s="45" t="s">
        <v>504</v>
      </c>
      <c r="DI88" s="1" t="s">
        <v>508</v>
      </c>
      <c r="DJ88" s="2" t="s">
        <v>511</v>
      </c>
      <c r="DK88" s="33">
        <v>1313</v>
      </c>
      <c r="DL88" s="71">
        <f t="shared" si="45"/>
        <v>3.6472222222222221</v>
      </c>
      <c r="DM88" s="68">
        <f t="shared" si="37"/>
        <v>98475000</v>
      </c>
      <c r="DN88" s="68">
        <f t="shared" si="38"/>
        <v>295425000</v>
      </c>
      <c r="DO88" s="35">
        <v>4</v>
      </c>
      <c r="DP88" s="33">
        <f t="shared" si="39"/>
        <v>58.616071428571423</v>
      </c>
      <c r="DQ88" s="35">
        <v>6</v>
      </c>
      <c r="DR88" s="69">
        <f t="shared" si="46"/>
        <v>12240000</v>
      </c>
      <c r="DS88" s="33">
        <v>1313</v>
      </c>
      <c r="DT88" s="68">
        <f t="shared" si="47"/>
        <v>39390000</v>
      </c>
      <c r="DU88" s="36">
        <v>1313</v>
      </c>
      <c r="DV88" s="68">
        <f t="shared" si="48"/>
        <v>13130000</v>
      </c>
      <c r="DW88" s="69">
        <f t="shared" si="40"/>
        <v>458660000</v>
      </c>
      <c r="DX88" s="33">
        <f t="shared" si="41"/>
        <v>654.59999999999991</v>
      </c>
    </row>
    <row r="89" spans="1:128" s="38" customFormat="1" ht="36.6" customHeight="1">
      <c r="A89" s="26">
        <v>83</v>
      </c>
      <c r="B89" s="27" t="s">
        <v>369</v>
      </c>
      <c r="C89" s="89" t="s">
        <v>370</v>
      </c>
      <c r="D89" s="89" t="s">
        <v>474</v>
      </c>
      <c r="E89" s="87" t="s">
        <v>109</v>
      </c>
      <c r="F89" s="28" t="s">
        <v>104</v>
      </c>
      <c r="G89" s="26">
        <v>680</v>
      </c>
      <c r="H89" s="26">
        <v>49</v>
      </c>
      <c r="I89" s="29">
        <f>1.5+720</f>
        <v>721.5</v>
      </c>
      <c r="J89" s="88" t="s">
        <v>371</v>
      </c>
      <c r="K89" s="26">
        <v>6</v>
      </c>
      <c r="L89" s="26">
        <v>8</v>
      </c>
      <c r="M89" s="29">
        <f t="shared" si="32"/>
        <v>3556</v>
      </c>
      <c r="N89" s="29"/>
      <c r="O89" s="29"/>
      <c r="P89" s="29">
        <f t="shared" si="29"/>
        <v>0</v>
      </c>
      <c r="Q89" s="29"/>
      <c r="R89" s="29">
        <f t="shared" si="49"/>
        <v>0</v>
      </c>
      <c r="S89" s="29"/>
      <c r="T89" s="29">
        <f t="shared" si="28"/>
        <v>23</v>
      </c>
      <c r="U89" s="29">
        <v>23</v>
      </c>
      <c r="V89" s="29"/>
      <c r="W89" s="29">
        <f t="shared" si="33"/>
        <v>3533</v>
      </c>
      <c r="X89" s="29">
        <f t="shared" si="42"/>
        <v>3533</v>
      </c>
      <c r="Y89" s="29">
        <f t="shared" si="43"/>
        <v>3533</v>
      </c>
      <c r="Z89" s="29">
        <f t="shared" si="30"/>
        <v>3533</v>
      </c>
      <c r="AA89" s="29"/>
      <c r="AB89" s="29"/>
      <c r="AC89" s="29"/>
      <c r="AD89" s="29"/>
      <c r="AE89" s="29"/>
      <c r="AF89" s="29"/>
      <c r="AG89" s="29"/>
      <c r="AH89" s="29"/>
      <c r="AI89" s="29"/>
      <c r="AJ89" s="29"/>
      <c r="AK89" s="29"/>
      <c r="AL89" s="29"/>
      <c r="AM89" s="29"/>
      <c r="AN89" s="29"/>
      <c r="AO89" s="29"/>
      <c r="AP89" s="29">
        <f>726+720</f>
        <v>1446</v>
      </c>
      <c r="AQ89" s="29"/>
      <c r="AR89" s="29">
        <v>1132</v>
      </c>
      <c r="AS89" s="29"/>
      <c r="AT89" s="29"/>
      <c r="AU89" s="30">
        <v>955</v>
      </c>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f t="shared" si="34"/>
        <v>0</v>
      </c>
      <c r="CW89" s="29">
        <f t="shared" si="35"/>
        <v>0</v>
      </c>
      <c r="CX89" s="31">
        <f t="shared" si="36"/>
        <v>422.20000000000005</v>
      </c>
      <c r="CY89" s="31">
        <v>0</v>
      </c>
      <c r="CZ89" s="31">
        <f t="shared" si="44"/>
        <v>299.29999999999995</v>
      </c>
      <c r="DA89" s="88" t="s">
        <v>405</v>
      </c>
      <c r="DB89" s="29">
        <v>720</v>
      </c>
      <c r="DC89" s="89"/>
      <c r="DD89" s="26"/>
      <c r="DE89" s="26"/>
      <c r="DF89" s="26"/>
      <c r="DG89" s="33"/>
      <c r="DH89" s="39" t="s">
        <v>474</v>
      </c>
      <c r="DI89" s="1" t="s">
        <v>508</v>
      </c>
      <c r="DJ89" s="2" t="s">
        <v>511</v>
      </c>
      <c r="DK89" s="33">
        <v>422.20000000000005</v>
      </c>
      <c r="DL89" s="71">
        <f t="shared" si="45"/>
        <v>1.1727777777777779</v>
      </c>
      <c r="DM89" s="68">
        <f t="shared" si="37"/>
        <v>31665000</v>
      </c>
      <c r="DN89" s="68">
        <f t="shared" si="38"/>
        <v>94995000</v>
      </c>
      <c r="DO89" s="35">
        <v>11</v>
      </c>
      <c r="DP89" s="33">
        <f t="shared" si="39"/>
        <v>11.95018397962072</v>
      </c>
      <c r="DQ89" s="35">
        <v>3</v>
      </c>
      <c r="DR89" s="69">
        <f t="shared" si="46"/>
        <v>16830000</v>
      </c>
      <c r="DS89" s="33">
        <v>422.20000000000005</v>
      </c>
      <c r="DT89" s="68">
        <f t="shared" si="47"/>
        <v>12666000</v>
      </c>
      <c r="DU89" s="36">
        <v>422.20000000000005</v>
      </c>
      <c r="DV89" s="68">
        <f t="shared" si="48"/>
        <v>4222000</v>
      </c>
      <c r="DW89" s="69">
        <f t="shared" si="40"/>
        <v>160378000</v>
      </c>
      <c r="DX89" s="33">
        <f t="shared" si="41"/>
        <v>299.29999999999995</v>
      </c>
    </row>
    <row r="90" spans="1:128" s="38" customFormat="1" ht="36.6" customHeight="1">
      <c r="A90" s="26">
        <v>84</v>
      </c>
      <c r="B90" s="27" t="s">
        <v>372</v>
      </c>
      <c r="C90" s="89" t="s">
        <v>373</v>
      </c>
      <c r="D90" s="89" t="s">
        <v>475</v>
      </c>
      <c r="E90" s="87" t="s">
        <v>109</v>
      </c>
      <c r="F90" s="28" t="s">
        <v>104</v>
      </c>
      <c r="G90" s="26">
        <v>681</v>
      </c>
      <c r="H90" s="26">
        <v>49</v>
      </c>
      <c r="I90" s="29">
        <f>8+1155</f>
        <v>1163</v>
      </c>
      <c r="J90" s="88" t="s">
        <v>374</v>
      </c>
      <c r="K90" s="26">
        <v>3</v>
      </c>
      <c r="L90" s="26">
        <v>3</v>
      </c>
      <c r="M90" s="29">
        <f t="shared" si="32"/>
        <v>1698</v>
      </c>
      <c r="N90" s="29"/>
      <c r="O90" s="29"/>
      <c r="P90" s="29">
        <f t="shared" si="29"/>
        <v>0</v>
      </c>
      <c r="Q90" s="29"/>
      <c r="R90" s="29">
        <f t="shared" si="49"/>
        <v>0</v>
      </c>
      <c r="S90" s="29"/>
      <c r="T90" s="29">
        <f t="shared" si="28"/>
        <v>14</v>
      </c>
      <c r="U90" s="29">
        <v>14</v>
      </c>
      <c r="V90" s="29"/>
      <c r="W90" s="29">
        <f t="shared" si="33"/>
        <v>1684</v>
      </c>
      <c r="X90" s="29">
        <f t="shared" si="42"/>
        <v>1684</v>
      </c>
      <c r="Y90" s="29">
        <f t="shared" si="43"/>
        <v>1684</v>
      </c>
      <c r="Z90" s="29">
        <f t="shared" si="30"/>
        <v>1684</v>
      </c>
      <c r="AA90" s="29"/>
      <c r="AB90" s="29"/>
      <c r="AC90" s="29"/>
      <c r="AD90" s="29"/>
      <c r="AE90" s="29"/>
      <c r="AF90" s="29"/>
      <c r="AG90" s="29"/>
      <c r="AH90" s="29"/>
      <c r="AI90" s="29"/>
      <c r="AJ90" s="29"/>
      <c r="AK90" s="29"/>
      <c r="AL90" s="29"/>
      <c r="AM90" s="29"/>
      <c r="AN90" s="29"/>
      <c r="AO90" s="29"/>
      <c r="AP90" s="29">
        <v>1155</v>
      </c>
      <c r="AQ90" s="29"/>
      <c r="AR90" s="29"/>
      <c r="AS90" s="29"/>
      <c r="AT90" s="29"/>
      <c r="AU90" s="30"/>
      <c r="AV90" s="29"/>
      <c r="AW90" s="29"/>
      <c r="AX90" s="29"/>
      <c r="AY90" s="29"/>
      <c r="AZ90" s="29"/>
      <c r="BA90" s="29"/>
      <c r="BB90" s="29"/>
      <c r="BC90" s="29">
        <v>529</v>
      </c>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f t="shared" si="34"/>
        <v>0</v>
      </c>
      <c r="CW90" s="29">
        <f t="shared" si="35"/>
        <v>0</v>
      </c>
      <c r="CX90" s="31">
        <f t="shared" si="36"/>
        <v>619.29999999999995</v>
      </c>
      <c r="CY90" s="31">
        <v>0</v>
      </c>
      <c r="CZ90" s="31">
        <f t="shared" si="44"/>
        <v>543.70000000000005</v>
      </c>
      <c r="DA90" s="88" t="s">
        <v>405</v>
      </c>
      <c r="DB90" s="29">
        <v>1155</v>
      </c>
      <c r="DC90" s="89"/>
      <c r="DD90" s="26"/>
      <c r="DE90" s="26"/>
      <c r="DF90" s="26"/>
      <c r="DG90" s="33"/>
      <c r="DH90" s="39" t="s">
        <v>475</v>
      </c>
      <c r="DI90" s="1" t="s">
        <v>508</v>
      </c>
      <c r="DJ90" s="2" t="s">
        <v>511</v>
      </c>
      <c r="DK90" s="33">
        <v>619.29999999999995</v>
      </c>
      <c r="DL90" s="71">
        <f t="shared" si="45"/>
        <v>1.7202777777777776</v>
      </c>
      <c r="DM90" s="68">
        <f t="shared" si="37"/>
        <v>46448000</v>
      </c>
      <c r="DN90" s="68">
        <f t="shared" si="38"/>
        <v>139343000</v>
      </c>
      <c r="DO90" s="35">
        <v>3</v>
      </c>
      <c r="DP90" s="33">
        <f t="shared" si="39"/>
        <v>36.775534441805227</v>
      </c>
      <c r="DQ90" s="35">
        <v>6</v>
      </c>
      <c r="DR90" s="69">
        <f t="shared" si="46"/>
        <v>9180000</v>
      </c>
      <c r="DS90" s="33">
        <v>619.29999999999995</v>
      </c>
      <c r="DT90" s="68">
        <f t="shared" si="47"/>
        <v>18579000</v>
      </c>
      <c r="DU90" s="36">
        <v>619.29999999999995</v>
      </c>
      <c r="DV90" s="68">
        <f t="shared" si="48"/>
        <v>6193000</v>
      </c>
      <c r="DW90" s="69">
        <f t="shared" si="40"/>
        <v>219743000</v>
      </c>
      <c r="DX90" s="33">
        <f t="shared" si="41"/>
        <v>543.70000000000005</v>
      </c>
    </row>
    <row r="91" spans="1:128" s="38" customFormat="1" ht="39.75" customHeight="1">
      <c r="A91" s="26">
        <v>85</v>
      </c>
      <c r="B91" s="27" t="s">
        <v>375</v>
      </c>
      <c r="C91" s="89" t="s">
        <v>376</v>
      </c>
      <c r="D91" s="88" t="s">
        <v>378</v>
      </c>
      <c r="E91" s="87" t="s">
        <v>109</v>
      </c>
      <c r="F91" s="28" t="s">
        <v>104</v>
      </c>
      <c r="G91" s="26">
        <v>682</v>
      </c>
      <c r="H91" s="26">
        <v>49</v>
      </c>
      <c r="I91" s="29">
        <f>5.2+1550</f>
        <v>1555.2</v>
      </c>
      <c r="J91" s="88" t="s">
        <v>377</v>
      </c>
      <c r="K91" s="26">
        <v>4</v>
      </c>
      <c r="L91" s="26">
        <v>6</v>
      </c>
      <c r="M91" s="29">
        <f t="shared" si="32"/>
        <v>2424</v>
      </c>
      <c r="N91" s="29"/>
      <c r="O91" s="29"/>
      <c r="P91" s="29">
        <f t="shared" si="29"/>
        <v>0</v>
      </c>
      <c r="Q91" s="29"/>
      <c r="R91" s="29">
        <v>65</v>
      </c>
      <c r="S91" s="29">
        <v>32</v>
      </c>
      <c r="T91" s="29">
        <f t="shared" si="28"/>
        <v>18</v>
      </c>
      <c r="U91" s="29">
        <v>18</v>
      </c>
      <c r="V91" s="29"/>
      <c r="W91" s="29">
        <f t="shared" si="33"/>
        <v>2439</v>
      </c>
      <c r="X91" s="29">
        <f t="shared" si="42"/>
        <v>2374</v>
      </c>
      <c r="Y91" s="29">
        <f t="shared" si="43"/>
        <v>2374</v>
      </c>
      <c r="Z91" s="29">
        <f t="shared" si="30"/>
        <v>2439</v>
      </c>
      <c r="AA91" s="29"/>
      <c r="AB91" s="29"/>
      <c r="AC91" s="29"/>
      <c r="AD91" s="29"/>
      <c r="AE91" s="29"/>
      <c r="AF91" s="29"/>
      <c r="AG91" s="29"/>
      <c r="AH91" s="29"/>
      <c r="AI91" s="29"/>
      <c r="AJ91" s="29"/>
      <c r="AK91" s="29"/>
      <c r="AL91" s="29"/>
      <c r="AM91" s="29"/>
      <c r="AN91" s="29"/>
      <c r="AO91" s="29"/>
      <c r="AP91" s="29">
        <v>1550</v>
      </c>
      <c r="AQ91" s="29"/>
      <c r="AR91" s="29"/>
      <c r="AS91" s="29"/>
      <c r="AT91" s="29"/>
      <c r="AU91" s="30">
        <v>207</v>
      </c>
      <c r="AV91" s="29"/>
      <c r="AW91" s="29"/>
      <c r="AX91" s="29"/>
      <c r="AY91" s="29"/>
      <c r="AZ91" s="29"/>
      <c r="BA91" s="29"/>
      <c r="BB91" s="29"/>
      <c r="BC91" s="29">
        <v>617</v>
      </c>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f t="shared" si="34"/>
        <v>0</v>
      </c>
      <c r="CW91" s="29">
        <f t="shared" si="35"/>
        <v>65</v>
      </c>
      <c r="CX91" s="31">
        <f t="shared" si="36"/>
        <v>704.1</v>
      </c>
      <c r="CY91" s="31">
        <v>0</v>
      </c>
      <c r="CZ91" s="31">
        <f t="shared" si="44"/>
        <v>851.1</v>
      </c>
      <c r="DA91" s="88" t="s">
        <v>405</v>
      </c>
      <c r="DB91" s="29">
        <v>1550</v>
      </c>
      <c r="DC91" s="89"/>
      <c r="DD91" s="26"/>
      <c r="DE91" s="26"/>
      <c r="DF91" s="26"/>
      <c r="DG91" s="33"/>
      <c r="DH91" s="45" t="s">
        <v>505</v>
      </c>
      <c r="DI91" s="1" t="s">
        <v>508</v>
      </c>
      <c r="DJ91" s="2" t="s">
        <v>511</v>
      </c>
      <c r="DK91" s="33">
        <v>704.1</v>
      </c>
      <c r="DL91" s="71">
        <f t="shared" si="45"/>
        <v>1.9558333333333333</v>
      </c>
      <c r="DM91" s="68">
        <f t="shared" si="37"/>
        <v>52808000</v>
      </c>
      <c r="DN91" s="68">
        <f t="shared" si="38"/>
        <v>158423000</v>
      </c>
      <c r="DO91" s="35">
        <v>4</v>
      </c>
      <c r="DP91" s="33">
        <f t="shared" si="39"/>
        <v>28.868388683886842</v>
      </c>
      <c r="DQ91" s="35">
        <v>5</v>
      </c>
      <c r="DR91" s="69">
        <f t="shared" si="46"/>
        <v>10200000</v>
      </c>
      <c r="DS91" s="33">
        <v>704.1</v>
      </c>
      <c r="DT91" s="68">
        <f t="shared" si="47"/>
        <v>21123000</v>
      </c>
      <c r="DU91" s="36">
        <v>704.1</v>
      </c>
      <c r="DV91" s="68">
        <f t="shared" si="48"/>
        <v>7041000</v>
      </c>
      <c r="DW91" s="69">
        <f t="shared" si="40"/>
        <v>249595000</v>
      </c>
      <c r="DX91" s="33">
        <f t="shared" si="41"/>
        <v>851.1</v>
      </c>
    </row>
    <row r="92" spans="1:128" s="38" customFormat="1" ht="36.6" customHeight="1">
      <c r="A92" s="26">
        <v>86</v>
      </c>
      <c r="B92" s="27" t="s">
        <v>379</v>
      </c>
      <c r="C92" s="89" t="s">
        <v>380</v>
      </c>
      <c r="D92" s="89" t="s">
        <v>476</v>
      </c>
      <c r="E92" s="87" t="s">
        <v>109</v>
      </c>
      <c r="F92" s="28" t="s">
        <v>104</v>
      </c>
      <c r="G92" s="26">
        <v>683</v>
      </c>
      <c r="H92" s="26">
        <v>49</v>
      </c>
      <c r="I92" s="29">
        <f>0.7+2030</f>
        <v>2030.7</v>
      </c>
      <c r="J92" s="88" t="s">
        <v>409</v>
      </c>
      <c r="K92" s="26">
        <v>6</v>
      </c>
      <c r="L92" s="26">
        <v>5</v>
      </c>
      <c r="M92" s="29">
        <f t="shared" si="32"/>
        <v>3316</v>
      </c>
      <c r="N92" s="29"/>
      <c r="O92" s="29"/>
      <c r="P92" s="29">
        <f t="shared" si="29"/>
        <v>0</v>
      </c>
      <c r="Q92" s="29"/>
      <c r="R92" s="29">
        <f t="shared" ref="R92:R98" si="50">S92*2</f>
        <v>0</v>
      </c>
      <c r="S92" s="29"/>
      <c r="T92" s="29">
        <f t="shared" si="28"/>
        <v>900</v>
      </c>
      <c r="U92" s="29">
        <v>20</v>
      </c>
      <c r="V92" s="29">
        <v>880</v>
      </c>
      <c r="W92" s="29">
        <f t="shared" si="33"/>
        <v>2416</v>
      </c>
      <c r="X92" s="29">
        <f t="shared" si="42"/>
        <v>3296</v>
      </c>
      <c r="Y92" s="29">
        <f t="shared" si="43"/>
        <v>3296</v>
      </c>
      <c r="Z92" s="29">
        <f t="shared" si="30"/>
        <v>3296</v>
      </c>
      <c r="AA92" s="29"/>
      <c r="AB92" s="29"/>
      <c r="AC92" s="29"/>
      <c r="AD92" s="29"/>
      <c r="AE92" s="29"/>
      <c r="AF92" s="29"/>
      <c r="AG92" s="29"/>
      <c r="AH92" s="29"/>
      <c r="AI92" s="29"/>
      <c r="AJ92" s="29"/>
      <c r="AK92" s="29"/>
      <c r="AL92" s="29"/>
      <c r="AM92" s="29"/>
      <c r="AN92" s="29"/>
      <c r="AO92" s="29"/>
      <c r="AP92" s="29">
        <f>688+1342</f>
        <v>2030</v>
      </c>
      <c r="AQ92" s="29"/>
      <c r="AR92" s="29">
        <v>880</v>
      </c>
      <c r="AS92" s="29"/>
      <c r="AT92" s="29"/>
      <c r="AU92" s="30">
        <v>386</v>
      </c>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29"/>
      <c r="CQ92" s="29"/>
      <c r="CR92" s="29"/>
      <c r="CS92" s="29"/>
      <c r="CT92" s="29"/>
      <c r="CU92" s="29"/>
      <c r="CV92" s="29">
        <f t="shared" si="34"/>
        <v>0</v>
      </c>
      <c r="CW92" s="29">
        <f t="shared" si="35"/>
        <v>0</v>
      </c>
      <c r="CX92" s="31">
        <f t="shared" si="36"/>
        <v>712.4</v>
      </c>
      <c r="CY92" s="31">
        <v>0</v>
      </c>
      <c r="CZ92" s="31">
        <f t="shared" si="44"/>
        <v>1318.3000000000002</v>
      </c>
      <c r="DA92" s="88" t="s">
        <v>406</v>
      </c>
      <c r="DB92" s="29">
        <f>688+1342</f>
        <v>2030</v>
      </c>
      <c r="DC92" s="89" t="s">
        <v>380</v>
      </c>
      <c r="DD92" s="26" t="s">
        <v>381</v>
      </c>
      <c r="DE92" s="32" t="s">
        <v>137</v>
      </c>
      <c r="DF92" s="26">
        <v>4</v>
      </c>
      <c r="DG92" s="33">
        <v>2030.7</v>
      </c>
      <c r="DH92" s="39" t="s">
        <v>476</v>
      </c>
      <c r="DI92" s="1" t="s">
        <v>508</v>
      </c>
      <c r="DJ92" s="2" t="s">
        <v>511</v>
      </c>
      <c r="DK92" s="33">
        <v>712.4</v>
      </c>
      <c r="DL92" s="71">
        <f t="shared" si="45"/>
        <v>1.9788888888888889</v>
      </c>
      <c r="DM92" s="68">
        <f t="shared" si="37"/>
        <v>53430000</v>
      </c>
      <c r="DN92" s="68">
        <f t="shared" si="38"/>
        <v>160290000</v>
      </c>
      <c r="DO92" s="35">
        <v>8</v>
      </c>
      <c r="DP92" s="33">
        <f t="shared" si="39"/>
        <v>29.486754966887418</v>
      </c>
      <c r="DQ92" s="35">
        <v>5</v>
      </c>
      <c r="DR92" s="69">
        <f t="shared" si="46"/>
        <v>20400000</v>
      </c>
      <c r="DS92" s="33">
        <v>712.4</v>
      </c>
      <c r="DT92" s="68">
        <f t="shared" si="47"/>
        <v>21372000</v>
      </c>
      <c r="DU92" s="36">
        <v>712.4</v>
      </c>
      <c r="DV92" s="68">
        <f t="shared" si="48"/>
        <v>7124000</v>
      </c>
      <c r="DW92" s="69">
        <f t="shared" si="40"/>
        <v>262616000</v>
      </c>
      <c r="DX92" s="33">
        <f t="shared" si="41"/>
        <v>1318.3000000000002</v>
      </c>
    </row>
    <row r="93" spans="1:128" s="38" customFormat="1" ht="39.75" customHeight="1">
      <c r="A93" s="26">
        <v>87</v>
      </c>
      <c r="B93" s="27" t="s">
        <v>382</v>
      </c>
      <c r="C93" s="89" t="s">
        <v>352</v>
      </c>
      <c r="D93" s="89" t="s">
        <v>477</v>
      </c>
      <c r="E93" s="87" t="s">
        <v>109</v>
      </c>
      <c r="F93" s="28" t="s">
        <v>104</v>
      </c>
      <c r="G93" s="26">
        <v>684</v>
      </c>
      <c r="H93" s="26">
        <v>49</v>
      </c>
      <c r="I93" s="29">
        <f>384.3+2+386.7</f>
        <v>773</v>
      </c>
      <c r="J93" s="88" t="s">
        <v>383</v>
      </c>
      <c r="K93" s="26">
        <v>3</v>
      </c>
      <c r="L93" s="26">
        <v>4</v>
      </c>
      <c r="M93" s="29">
        <f t="shared" si="32"/>
        <v>1778</v>
      </c>
      <c r="N93" s="29"/>
      <c r="O93" s="29"/>
      <c r="P93" s="29">
        <f t="shared" si="29"/>
        <v>0</v>
      </c>
      <c r="Q93" s="29"/>
      <c r="R93" s="29">
        <f t="shared" si="50"/>
        <v>0</v>
      </c>
      <c r="S93" s="29"/>
      <c r="T93" s="29">
        <f t="shared" si="28"/>
        <v>9</v>
      </c>
      <c r="U93" s="29">
        <v>9</v>
      </c>
      <c r="V93" s="29"/>
      <c r="W93" s="29">
        <f t="shared" si="33"/>
        <v>1769</v>
      </c>
      <c r="X93" s="29">
        <f t="shared" si="42"/>
        <v>1769</v>
      </c>
      <c r="Y93" s="29">
        <f t="shared" si="43"/>
        <v>1769</v>
      </c>
      <c r="Z93" s="29">
        <f t="shared" si="30"/>
        <v>1769</v>
      </c>
      <c r="AA93" s="29"/>
      <c r="AB93" s="29"/>
      <c r="AC93" s="29"/>
      <c r="AD93" s="29"/>
      <c r="AE93" s="29"/>
      <c r="AF93" s="29"/>
      <c r="AG93" s="29"/>
      <c r="AH93" s="29"/>
      <c r="AI93" s="29"/>
      <c r="AJ93" s="29"/>
      <c r="AK93" s="29"/>
      <c r="AL93" s="29"/>
      <c r="AM93" s="29"/>
      <c r="AN93" s="29"/>
      <c r="AO93" s="29"/>
      <c r="AP93" s="29">
        <v>771</v>
      </c>
      <c r="AQ93" s="29"/>
      <c r="AR93" s="29"/>
      <c r="AS93" s="29"/>
      <c r="AT93" s="29"/>
      <c r="AU93" s="30">
        <v>771</v>
      </c>
      <c r="AV93" s="29"/>
      <c r="AW93" s="29"/>
      <c r="AX93" s="29"/>
      <c r="AY93" s="29"/>
      <c r="AZ93" s="29"/>
      <c r="BA93" s="29"/>
      <c r="BB93" s="29"/>
      <c r="BC93" s="29">
        <f>11+216</f>
        <v>227</v>
      </c>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f t="shared" si="34"/>
        <v>0</v>
      </c>
      <c r="CW93" s="29">
        <f t="shared" si="35"/>
        <v>0</v>
      </c>
      <c r="CX93" s="31">
        <f t="shared" si="36"/>
        <v>194.7</v>
      </c>
      <c r="CY93" s="31">
        <v>0</v>
      </c>
      <c r="CZ93" s="31">
        <f t="shared" si="44"/>
        <v>578.29999999999995</v>
      </c>
      <c r="DA93" s="88" t="s">
        <v>405</v>
      </c>
      <c r="DB93" s="29">
        <v>771</v>
      </c>
      <c r="DC93" s="89" t="s">
        <v>352</v>
      </c>
      <c r="DD93" s="26" t="s">
        <v>384</v>
      </c>
      <c r="DE93" s="32" t="s">
        <v>137</v>
      </c>
      <c r="DF93" s="26">
        <v>4</v>
      </c>
      <c r="DG93" s="33">
        <f>386.7</f>
        <v>386.7</v>
      </c>
      <c r="DH93" s="39" t="s">
        <v>477</v>
      </c>
      <c r="DI93" s="1" t="s">
        <v>508</v>
      </c>
      <c r="DJ93" s="2" t="s">
        <v>511</v>
      </c>
      <c r="DK93" s="33">
        <f>92.9+101.8</f>
        <v>194.7</v>
      </c>
      <c r="DL93" s="71">
        <f t="shared" si="45"/>
        <v>0.54083333333333328</v>
      </c>
      <c r="DM93" s="68">
        <f t="shared" si="37"/>
        <v>14603000</v>
      </c>
      <c r="DN93" s="68">
        <f t="shared" si="38"/>
        <v>43808000</v>
      </c>
      <c r="DO93" s="35">
        <v>4</v>
      </c>
      <c r="DP93" s="33">
        <f t="shared" si="39"/>
        <v>11.006218202374223</v>
      </c>
      <c r="DQ93" s="35">
        <v>3</v>
      </c>
      <c r="DR93" s="69">
        <f t="shared" si="46"/>
        <v>6120000</v>
      </c>
      <c r="DS93" s="33">
        <v>194.7</v>
      </c>
      <c r="DT93" s="68">
        <f t="shared" si="47"/>
        <v>5841000</v>
      </c>
      <c r="DU93" s="36">
        <v>194.7</v>
      </c>
      <c r="DV93" s="68">
        <f t="shared" si="48"/>
        <v>1947000</v>
      </c>
      <c r="DW93" s="69">
        <f t="shared" si="40"/>
        <v>72319000</v>
      </c>
      <c r="DX93" s="33">
        <f t="shared" si="41"/>
        <v>578.29999999999995</v>
      </c>
    </row>
    <row r="94" spans="1:128" s="38" customFormat="1" ht="23.25" customHeight="1">
      <c r="A94" s="26">
        <v>88</v>
      </c>
      <c r="B94" s="27" t="s">
        <v>385</v>
      </c>
      <c r="C94" s="89" t="s">
        <v>386</v>
      </c>
      <c r="D94" s="89" t="s">
        <v>386</v>
      </c>
      <c r="E94" s="87" t="s">
        <v>109</v>
      </c>
      <c r="F94" s="28" t="s">
        <v>104</v>
      </c>
      <c r="G94" s="26">
        <v>685</v>
      </c>
      <c r="H94" s="26">
        <v>49</v>
      </c>
      <c r="I94" s="29">
        <v>363.1</v>
      </c>
      <c r="J94" s="88" t="s">
        <v>386</v>
      </c>
      <c r="K94" s="26">
        <v>1</v>
      </c>
      <c r="L94" s="26">
        <v>1</v>
      </c>
      <c r="M94" s="29">
        <f t="shared" si="32"/>
        <v>566</v>
      </c>
      <c r="N94" s="29"/>
      <c r="O94" s="29"/>
      <c r="P94" s="29">
        <f t="shared" si="29"/>
        <v>0</v>
      </c>
      <c r="Q94" s="29"/>
      <c r="R94" s="29">
        <f t="shared" si="50"/>
        <v>0</v>
      </c>
      <c r="S94" s="29"/>
      <c r="T94" s="29">
        <f t="shared" si="28"/>
        <v>5</v>
      </c>
      <c r="U94" s="29">
        <v>5</v>
      </c>
      <c r="V94" s="29"/>
      <c r="W94" s="29">
        <f t="shared" si="33"/>
        <v>561</v>
      </c>
      <c r="X94" s="29">
        <f t="shared" si="42"/>
        <v>561</v>
      </c>
      <c r="Y94" s="29">
        <f t="shared" si="43"/>
        <v>561</v>
      </c>
      <c r="Z94" s="29">
        <f t="shared" si="30"/>
        <v>561</v>
      </c>
      <c r="AA94" s="29"/>
      <c r="AB94" s="29"/>
      <c r="AC94" s="29"/>
      <c r="AD94" s="29"/>
      <c r="AE94" s="29"/>
      <c r="AF94" s="29"/>
      <c r="AG94" s="29"/>
      <c r="AH94" s="29"/>
      <c r="AI94" s="29"/>
      <c r="AJ94" s="29"/>
      <c r="AK94" s="29"/>
      <c r="AL94" s="29"/>
      <c r="AM94" s="29"/>
      <c r="AN94" s="29"/>
      <c r="AO94" s="29"/>
      <c r="AP94" s="29">
        <v>363</v>
      </c>
      <c r="AQ94" s="29"/>
      <c r="AR94" s="29"/>
      <c r="AS94" s="29"/>
      <c r="AT94" s="29"/>
      <c r="AU94" s="30"/>
      <c r="AV94" s="29"/>
      <c r="AW94" s="29"/>
      <c r="AX94" s="29"/>
      <c r="AY94" s="29"/>
      <c r="AZ94" s="29"/>
      <c r="BA94" s="29"/>
      <c r="BB94" s="29"/>
      <c r="BC94" s="29">
        <v>198</v>
      </c>
      <c r="BD94" s="29"/>
      <c r="BE94" s="29"/>
      <c r="BF94" s="29"/>
      <c r="BG94" s="29"/>
      <c r="BH94" s="29"/>
      <c r="BI94" s="29"/>
      <c r="BJ94" s="29"/>
      <c r="BK94" s="29"/>
      <c r="BL94" s="29"/>
      <c r="BM94" s="29"/>
      <c r="BN94" s="29"/>
      <c r="BO94" s="29"/>
      <c r="BP94" s="29"/>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f t="shared" si="34"/>
        <v>0</v>
      </c>
      <c r="CW94" s="29">
        <f t="shared" si="35"/>
        <v>0</v>
      </c>
      <c r="CX94" s="31">
        <f t="shared" si="36"/>
        <v>363.09999999999997</v>
      </c>
      <c r="CY94" s="31">
        <v>0</v>
      </c>
      <c r="CZ94" s="31">
        <f t="shared" si="44"/>
        <v>0</v>
      </c>
      <c r="DA94" s="88" t="s">
        <v>405</v>
      </c>
      <c r="DB94" s="29">
        <v>363</v>
      </c>
      <c r="DC94" s="89"/>
      <c r="DD94" s="26"/>
      <c r="DE94" s="26"/>
      <c r="DF94" s="26"/>
      <c r="DG94" s="33"/>
      <c r="DH94" s="39" t="s">
        <v>386</v>
      </c>
      <c r="DI94" s="1" t="s">
        <v>508</v>
      </c>
      <c r="DJ94" s="2" t="s">
        <v>511</v>
      </c>
      <c r="DK94" s="33">
        <f>280.4+82.7</f>
        <v>363.09999999999997</v>
      </c>
      <c r="DL94" s="71">
        <f t="shared" si="45"/>
        <v>1.0086111111111111</v>
      </c>
      <c r="DM94" s="68">
        <f t="shared" si="37"/>
        <v>27233000</v>
      </c>
      <c r="DN94" s="68">
        <f t="shared" si="38"/>
        <v>81698000</v>
      </c>
      <c r="DO94" s="35">
        <v>1</v>
      </c>
      <c r="DP94" s="33">
        <f t="shared" si="39"/>
        <v>64.723707664884131</v>
      </c>
      <c r="DQ94" s="35">
        <v>6</v>
      </c>
      <c r="DR94" s="69">
        <f t="shared" si="46"/>
        <v>3060000</v>
      </c>
      <c r="DS94" s="33">
        <v>82.699999999999989</v>
      </c>
      <c r="DT94" s="68">
        <f t="shared" si="47"/>
        <v>2481000</v>
      </c>
      <c r="DU94" s="36">
        <f>DK94</f>
        <v>363.09999999999997</v>
      </c>
      <c r="DV94" s="68">
        <f t="shared" si="48"/>
        <v>3631000</v>
      </c>
      <c r="DW94" s="69">
        <f t="shared" si="40"/>
        <v>118103000</v>
      </c>
      <c r="DX94" s="33">
        <f t="shared" si="41"/>
        <v>0</v>
      </c>
    </row>
    <row r="95" spans="1:128" s="38" customFormat="1" ht="36" customHeight="1">
      <c r="A95" s="26">
        <v>89</v>
      </c>
      <c r="B95" s="27" t="s">
        <v>387</v>
      </c>
      <c r="C95" s="89" t="s">
        <v>388</v>
      </c>
      <c r="D95" s="88" t="s">
        <v>442</v>
      </c>
      <c r="E95" s="87" t="s">
        <v>109</v>
      </c>
      <c r="F95" s="28" t="s">
        <v>104</v>
      </c>
      <c r="G95" s="26">
        <v>686</v>
      </c>
      <c r="H95" s="26">
        <v>49</v>
      </c>
      <c r="I95" s="29">
        <f>1+1595</f>
        <v>1596</v>
      </c>
      <c r="J95" s="88" t="s">
        <v>389</v>
      </c>
      <c r="K95" s="26">
        <v>5</v>
      </c>
      <c r="L95" s="26">
        <v>4</v>
      </c>
      <c r="M95" s="29">
        <f t="shared" si="32"/>
        <v>2750</v>
      </c>
      <c r="N95" s="29"/>
      <c r="O95" s="29"/>
      <c r="P95" s="29">
        <v>245</v>
      </c>
      <c r="Q95" s="29">
        <v>61</v>
      </c>
      <c r="R95" s="29">
        <f t="shared" si="50"/>
        <v>0</v>
      </c>
      <c r="S95" s="29"/>
      <c r="T95" s="29">
        <f t="shared" si="28"/>
        <v>459</v>
      </c>
      <c r="U95" s="29">
        <v>20</v>
      </c>
      <c r="V95" s="29">
        <v>439</v>
      </c>
      <c r="W95" s="29">
        <f t="shared" si="33"/>
        <v>2475</v>
      </c>
      <c r="X95" s="29">
        <f t="shared" si="42"/>
        <v>2669</v>
      </c>
      <c r="Y95" s="29">
        <f t="shared" si="43"/>
        <v>2669</v>
      </c>
      <c r="Z95" s="29">
        <f t="shared" si="30"/>
        <v>2914</v>
      </c>
      <c r="AA95" s="29"/>
      <c r="AB95" s="29"/>
      <c r="AC95" s="29"/>
      <c r="AD95" s="29"/>
      <c r="AE95" s="29"/>
      <c r="AF95" s="29"/>
      <c r="AG95" s="29"/>
      <c r="AH95" s="29"/>
      <c r="AI95" s="29"/>
      <c r="AJ95" s="29"/>
      <c r="AK95" s="29"/>
      <c r="AL95" s="29"/>
      <c r="AM95" s="29"/>
      <c r="AN95" s="29"/>
      <c r="AO95" s="29"/>
      <c r="AP95" s="29">
        <v>1595</v>
      </c>
      <c r="AQ95" s="29"/>
      <c r="AR95" s="29"/>
      <c r="AS95" s="29"/>
      <c r="AT95" s="29"/>
      <c r="AU95" s="30">
        <v>635</v>
      </c>
      <c r="AV95" s="29"/>
      <c r="AW95" s="29"/>
      <c r="AX95" s="29"/>
      <c r="AY95" s="29"/>
      <c r="AZ95" s="29"/>
      <c r="BA95" s="29">
        <v>439</v>
      </c>
      <c r="BB95" s="29"/>
      <c r="BC95" s="29"/>
      <c r="BD95" s="29"/>
      <c r="BE95" s="29"/>
      <c r="BF95" s="29"/>
      <c r="BG95" s="29"/>
      <c r="BH95" s="29"/>
      <c r="BI95" s="29"/>
      <c r="BJ95" s="29"/>
      <c r="BK95" s="29"/>
      <c r="BL95" s="29"/>
      <c r="BM95" s="29"/>
      <c r="BN95" s="29"/>
      <c r="BO95" s="29"/>
      <c r="BP95" s="29"/>
      <c r="BQ95" s="29"/>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f t="shared" si="34"/>
        <v>245</v>
      </c>
      <c r="CW95" s="29">
        <f t="shared" si="35"/>
        <v>0</v>
      </c>
      <c r="CX95" s="31">
        <f t="shared" si="36"/>
        <v>267</v>
      </c>
      <c r="CY95" s="31">
        <v>0</v>
      </c>
      <c r="CZ95" s="31">
        <f t="shared" si="44"/>
        <v>1329</v>
      </c>
      <c r="DA95" s="88" t="s">
        <v>405</v>
      </c>
      <c r="DB95" s="29">
        <v>1595</v>
      </c>
      <c r="DC95" s="89"/>
      <c r="DD95" s="26"/>
      <c r="DE95" s="26"/>
      <c r="DF95" s="26"/>
      <c r="DG95" s="33"/>
      <c r="DH95" s="45" t="s">
        <v>506</v>
      </c>
      <c r="DI95" s="1" t="s">
        <v>508</v>
      </c>
      <c r="DJ95" s="2" t="s">
        <v>511</v>
      </c>
      <c r="DK95" s="33">
        <v>267</v>
      </c>
      <c r="DL95" s="71">
        <f t="shared" si="45"/>
        <v>0.7416666666666667</v>
      </c>
      <c r="DM95" s="68">
        <f t="shared" si="37"/>
        <v>20025000</v>
      </c>
      <c r="DN95" s="68">
        <f t="shared" si="38"/>
        <v>60075000</v>
      </c>
      <c r="DO95" s="35">
        <v>4</v>
      </c>
      <c r="DP95" s="33">
        <f t="shared" si="39"/>
        <v>10.787878787878787</v>
      </c>
      <c r="DQ95" s="35">
        <v>3</v>
      </c>
      <c r="DR95" s="69">
        <f t="shared" si="46"/>
        <v>6120000</v>
      </c>
      <c r="DS95" s="33">
        <v>267</v>
      </c>
      <c r="DT95" s="68">
        <f t="shared" si="47"/>
        <v>8010000</v>
      </c>
      <c r="DU95" s="36">
        <v>267</v>
      </c>
      <c r="DV95" s="68">
        <f t="shared" si="48"/>
        <v>2670000</v>
      </c>
      <c r="DW95" s="69">
        <f t="shared" si="40"/>
        <v>96900000</v>
      </c>
      <c r="DX95" s="33">
        <f t="shared" si="41"/>
        <v>1329</v>
      </c>
    </row>
    <row r="96" spans="1:128" s="38" customFormat="1" ht="36.6" customHeight="1">
      <c r="A96" s="26">
        <v>90</v>
      </c>
      <c r="B96" s="27" t="s">
        <v>390</v>
      </c>
      <c r="C96" s="89" t="s">
        <v>391</v>
      </c>
      <c r="D96" s="89" t="s">
        <v>478</v>
      </c>
      <c r="E96" s="87" t="s">
        <v>109</v>
      </c>
      <c r="F96" s="28" t="s">
        <v>104</v>
      </c>
      <c r="G96" s="26">
        <v>687</v>
      </c>
      <c r="H96" s="26">
        <v>49</v>
      </c>
      <c r="I96" s="29">
        <f>3+651</f>
        <v>654</v>
      </c>
      <c r="J96" s="88" t="s">
        <v>392</v>
      </c>
      <c r="K96" s="26">
        <v>3</v>
      </c>
      <c r="L96" s="26">
        <v>4</v>
      </c>
      <c r="M96" s="29">
        <f t="shared" si="32"/>
        <v>1778</v>
      </c>
      <c r="N96" s="29"/>
      <c r="O96" s="29"/>
      <c r="P96" s="29">
        <f t="shared" si="29"/>
        <v>0</v>
      </c>
      <c r="Q96" s="29"/>
      <c r="R96" s="29">
        <f t="shared" si="50"/>
        <v>0</v>
      </c>
      <c r="S96" s="29"/>
      <c r="T96" s="29">
        <f t="shared" si="28"/>
        <v>975</v>
      </c>
      <c r="U96" s="29">
        <v>8</v>
      </c>
      <c r="V96" s="29">
        <f>386+581</f>
        <v>967</v>
      </c>
      <c r="W96" s="29">
        <f t="shared" si="33"/>
        <v>803</v>
      </c>
      <c r="X96" s="29">
        <f t="shared" si="42"/>
        <v>1770</v>
      </c>
      <c r="Y96" s="29">
        <f t="shared" si="43"/>
        <v>1770</v>
      </c>
      <c r="Z96" s="29">
        <f t="shared" si="30"/>
        <v>1770</v>
      </c>
      <c r="AA96" s="29"/>
      <c r="AB96" s="29"/>
      <c r="AC96" s="29"/>
      <c r="AD96" s="29"/>
      <c r="AE96" s="29"/>
      <c r="AF96" s="29"/>
      <c r="AG96" s="29"/>
      <c r="AH96" s="29"/>
      <c r="AI96" s="29"/>
      <c r="AJ96" s="29"/>
      <c r="AK96" s="29"/>
      <c r="AL96" s="29"/>
      <c r="AM96" s="29"/>
      <c r="AN96" s="29"/>
      <c r="AO96" s="29"/>
      <c r="AP96" s="29">
        <v>651</v>
      </c>
      <c r="AQ96" s="29"/>
      <c r="AR96" s="29"/>
      <c r="AS96" s="29"/>
      <c r="AT96" s="29"/>
      <c r="AU96" s="30"/>
      <c r="AV96" s="29"/>
      <c r="AW96" s="29"/>
      <c r="AX96" s="29"/>
      <c r="AY96" s="29"/>
      <c r="AZ96" s="29"/>
      <c r="BA96" s="29">
        <f>386+581</f>
        <v>967</v>
      </c>
      <c r="BB96" s="29"/>
      <c r="BC96" s="29">
        <f>152</f>
        <v>152</v>
      </c>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f t="shared" si="34"/>
        <v>0</v>
      </c>
      <c r="CW96" s="29">
        <f t="shared" si="35"/>
        <v>0</v>
      </c>
      <c r="CX96" s="31">
        <f t="shared" si="36"/>
        <v>65.599999999999994</v>
      </c>
      <c r="CY96" s="31">
        <v>0</v>
      </c>
      <c r="CZ96" s="31">
        <f t="shared" si="44"/>
        <v>588.4</v>
      </c>
      <c r="DA96" s="88" t="s">
        <v>405</v>
      </c>
      <c r="DB96" s="29">
        <v>651</v>
      </c>
      <c r="DC96" s="89" t="s">
        <v>391</v>
      </c>
      <c r="DD96" s="26" t="s">
        <v>393</v>
      </c>
      <c r="DE96" s="32" t="s">
        <v>159</v>
      </c>
      <c r="DF96" s="26">
        <v>4</v>
      </c>
      <c r="DG96" s="33">
        <f>654-3</f>
        <v>651</v>
      </c>
      <c r="DH96" s="39" t="s">
        <v>478</v>
      </c>
      <c r="DI96" s="1" t="s">
        <v>508</v>
      </c>
      <c r="DJ96" s="2" t="s">
        <v>511</v>
      </c>
      <c r="DK96" s="33">
        <v>65.599999999999994</v>
      </c>
      <c r="DL96" s="71">
        <f t="shared" si="45"/>
        <v>0.1822222222222222</v>
      </c>
      <c r="DM96" s="68">
        <f t="shared" si="37"/>
        <v>4920000</v>
      </c>
      <c r="DN96" s="68">
        <f t="shared" si="38"/>
        <v>14760000</v>
      </c>
      <c r="DO96" s="35">
        <v>4</v>
      </c>
      <c r="DP96" s="33">
        <f t="shared" si="39"/>
        <v>8.1693648816936477</v>
      </c>
      <c r="DQ96" s="35">
        <v>2</v>
      </c>
      <c r="DR96" s="69">
        <f t="shared" si="46"/>
        <v>4080000</v>
      </c>
      <c r="DS96" s="33">
        <v>65.599999999999994</v>
      </c>
      <c r="DT96" s="68">
        <f t="shared" si="47"/>
        <v>1968000</v>
      </c>
      <c r="DU96" s="36">
        <v>65.599999999999994</v>
      </c>
      <c r="DV96" s="68">
        <f t="shared" si="48"/>
        <v>656000</v>
      </c>
      <c r="DW96" s="69">
        <f t="shared" si="40"/>
        <v>26384000</v>
      </c>
      <c r="DX96" s="33">
        <f t="shared" si="41"/>
        <v>588.4</v>
      </c>
    </row>
    <row r="97" spans="1:128" s="38" customFormat="1" ht="36.6" customHeight="1">
      <c r="A97" s="26">
        <v>91</v>
      </c>
      <c r="B97" s="27" t="s">
        <v>394</v>
      </c>
      <c r="C97" s="89" t="s">
        <v>395</v>
      </c>
      <c r="D97" s="89" t="s">
        <v>479</v>
      </c>
      <c r="E97" s="87" t="s">
        <v>109</v>
      </c>
      <c r="F97" s="28" t="s">
        <v>104</v>
      </c>
      <c r="G97" s="26">
        <v>688</v>
      </c>
      <c r="H97" s="26">
        <v>49</v>
      </c>
      <c r="I97" s="29">
        <f>3.1+559</f>
        <v>562.1</v>
      </c>
      <c r="J97" s="88" t="s">
        <v>396</v>
      </c>
      <c r="K97" s="26">
        <v>6</v>
      </c>
      <c r="L97" s="26">
        <v>6</v>
      </c>
      <c r="M97" s="29">
        <f t="shared" si="32"/>
        <v>3396</v>
      </c>
      <c r="N97" s="29"/>
      <c r="O97" s="29"/>
      <c r="P97" s="29">
        <v>95</v>
      </c>
      <c r="Q97" s="29">
        <v>24</v>
      </c>
      <c r="R97" s="29">
        <f t="shared" si="50"/>
        <v>0</v>
      </c>
      <c r="S97" s="29"/>
      <c r="T97" s="29">
        <f t="shared" si="28"/>
        <v>37</v>
      </c>
      <c r="U97" s="29">
        <v>37</v>
      </c>
      <c r="V97" s="29"/>
      <c r="W97" s="29">
        <f t="shared" si="33"/>
        <v>3430</v>
      </c>
      <c r="X97" s="29">
        <f t="shared" si="42"/>
        <v>3335</v>
      </c>
      <c r="Y97" s="29">
        <f t="shared" si="43"/>
        <v>3335</v>
      </c>
      <c r="Z97" s="29">
        <f t="shared" si="30"/>
        <v>3430</v>
      </c>
      <c r="AA97" s="29"/>
      <c r="AB97" s="29"/>
      <c r="AC97" s="29"/>
      <c r="AD97" s="29"/>
      <c r="AE97" s="29"/>
      <c r="AF97" s="29"/>
      <c r="AG97" s="29"/>
      <c r="AH97" s="29"/>
      <c r="AI97" s="29"/>
      <c r="AJ97" s="29"/>
      <c r="AK97" s="29"/>
      <c r="AL97" s="29"/>
      <c r="AM97" s="29"/>
      <c r="AN97" s="29"/>
      <c r="AO97" s="29"/>
      <c r="AP97" s="29"/>
      <c r="AQ97" s="29">
        <v>1436</v>
      </c>
      <c r="AR97" s="29">
        <v>1438</v>
      </c>
      <c r="AS97" s="29"/>
      <c r="AT97" s="29"/>
      <c r="AU97" s="30">
        <v>461</v>
      </c>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f t="shared" si="34"/>
        <v>95</v>
      </c>
      <c r="CW97" s="29">
        <f t="shared" si="35"/>
        <v>0</v>
      </c>
      <c r="CX97" s="31">
        <f t="shared" si="36"/>
        <v>34.299999999999997</v>
      </c>
      <c r="CY97" s="31">
        <v>0</v>
      </c>
      <c r="CZ97" s="31">
        <f t="shared" si="44"/>
        <v>527.80000000000007</v>
      </c>
      <c r="DA97" s="88" t="s">
        <v>405</v>
      </c>
      <c r="DB97" s="29">
        <v>559</v>
      </c>
      <c r="DC97" s="89" t="s">
        <v>397</v>
      </c>
      <c r="DD97" s="26" t="s">
        <v>398</v>
      </c>
      <c r="DE97" s="32" t="s">
        <v>137</v>
      </c>
      <c r="DF97" s="26">
        <v>4</v>
      </c>
      <c r="DG97" s="33">
        <f>562.1-3.1</f>
        <v>559</v>
      </c>
      <c r="DH97" s="39" t="s">
        <v>479</v>
      </c>
      <c r="DI97" s="1" t="s">
        <v>508</v>
      </c>
      <c r="DJ97" s="2" t="s">
        <v>511</v>
      </c>
      <c r="DK97" s="33">
        <v>34.299999999999997</v>
      </c>
      <c r="DL97" s="71">
        <f t="shared" si="45"/>
        <v>9.5277777777777767E-2</v>
      </c>
      <c r="DM97" s="68">
        <f t="shared" si="37"/>
        <v>2573000</v>
      </c>
      <c r="DN97" s="68">
        <f t="shared" si="38"/>
        <v>7718000</v>
      </c>
      <c r="DO97" s="35">
        <v>6</v>
      </c>
      <c r="DP97" s="33">
        <f t="shared" si="39"/>
        <v>0.99999999999999989</v>
      </c>
      <c r="DQ97" s="35">
        <v>2</v>
      </c>
      <c r="DR97" s="69">
        <f t="shared" si="46"/>
        <v>6120000</v>
      </c>
      <c r="DS97" s="33">
        <v>34.299999999999997</v>
      </c>
      <c r="DT97" s="68">
        <f t="shared" si="47"/>
        <v>1029000</v>
      </c>
      <c r="DU97" s="36">
        <v>34.299999999999997</v>
      </c>
      <c r="DV97" s="68">
        <f t="shared" si="48"/>
        <v>343000</v>
      </c>
      <c r="DW97" s="69">
        <f t="shared" si="40"/>
        <v>17783000</v>
      </c>
      <c r="DX97" s="33">
        <f t="shared" si="41"/>
        <v>527.80000000000007</v>
      </c>
    </row>
    <row r="98" spans="1:128" s="38" customFormat="1" ht="56.25" customHeight="1">
      <c r="A98" s="26">
        <v>92</v>
      </c>
      <c r="B98" s="27" t="s">
        <v>399</v>
      </c>
      <c r="C98" s="89" t="s">
        <v>400</v>
      </c>
      <c r="D98" s="88" t="s">
        <v>443</v>
      </c>
      <c r="E98" s="87" t="s">
        <v>109</v>
      </c>
      <c r="F98" s="28" t="s">
        <v>104</v>
      </c>
      <c r="G98" s="26">
        <v>689</v>
      </c>
      <c r="H98" s="26">
        <v>49</v>
      </c>
      <c r="I98" s="29">
        <f>2.7+1186</f>
        <v>1188.7</v>
      </c>
      <c r="J98" s="88" t="s">
        <v>400</v>
      </c>
      <c r="K98" s="26">
        <v>3</v>
      </c>
      <c r="L98" s="26">
        <v>2</v>
      </c>
      <c r="M98" s="29">
        <f t="shared" si="32"/>
        <v>1618</v>
      </c>
      <c r="N98" s="29"/>
      <c r="O98" s="29"/>
      <c r="P98" s="29">
        <f t="shared" si="29"/>
        <v>0</v>
      </c>
      <c r="Q98" s="29"/>
      <c r="R98" s="29">
        <f t="shared" si="50"/>
        <v>0</v>
      </c>
      <c r="S98" s="29"/>
      <c r="T98" s="29">
        <f t="shared" si="28"/>
        <v>15</v>
      </c>
      <c r="U98" s="29">
        <v>15</v>
      </c>
      <c r="V98" s="29"/>
      <c r="W98" s="29">
        <f t="shared" si="33"/>
        <v>1603</v>
      </c>
      <c r="X98" s="29">
        <f t="shared" si="42"/>
        <v>1603</v>
      </c>
      <c r="Y98" s="29">
        <f t="shared" si="43"/>
        <v>1603</v>
      </c>
      <c r="Z98" s="29">
        <f t="shared" si="30"/>
        <v>1603</v>
      </c>
      <c r="AA98" s="29"/>
      <c r="AB98" s="29"/>
      <c r="AC98" s="29"/>
      <c r="AD98" s="29"/>
      <c r="AE98" s="29"/>
      <c r="AF98" s="29"/>
      <c r="AG98" s="29"/>
      <c r="AH98" s="29"/>
      <c r="AI98" s="29"/>
      <c r="AJ98" s="29"/>
      <c r="AK98" s="29"/>
      <c r="AL98" s="29"/>
      <c r="AM98" s="29"/>
      <c r="AN98" s="29"/>
      <c r="AO98" s="29"/>
      <c r="AP98" s="29">
        <v>1186</v>
      </c>
      <c r="AQ98" s="29"/>
      <c r="AR98" s="29"/>
      <c r="AS98" s="29"/>
      <c r="AT98" s="29"/>
      <c r="AU98" s="30">
        <v>417</v>
      </c>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f t="shared" si="34"/>
        <v>0</v>
      </c>
      <c r="CW98" s="29">
        <f t="shared" si="35"/>
        <v>0</v>
      </c>
      <c r="CX98" s="31">
        <f t="shared" si="36"/>
        <v>14.8</v>
      </c>
      <c r="CY98" s="31">
        <v>0</v>
      </c>
      <c r="CZ98" s="31">
        <f t="shared" si="44"/>
        <v>1173.9000000000001</v>
      </c>
      <c r="DA98" s="60"/>
      <c r="DB98" s="29">
        <v>1186</v>
      </c>
      <c r="DC98" s="89" t="s">
        <v>397</v>
      </c>
      <c r="DD98" s="26" t="s">
        <v>401</v>
      </c>
      <c r="DE98" s="32" t="s">
        <v>137</v>
      </c>
      <c r="DF98" s="26">
        <v>4</v>
      </c>
      <c r="DG98" s="33">
        <f>1188.7-2.7</f>
        <v>1186</v>
      </c>
      <c r="DH98" s="45" t="s">
        <v>507</v>
      </c>
      <c r="DI98" s="1" t="s">
        <v>508</v>
      </c>
      <c r="DJ98" s="2" t="s">
        <v>511</v>
      </c>
      <c r="DK98" s="33">
        <v>14.8</v>
      </c>
      <c r="DL98" s="71">
        <f t="shared" si="45"/>
        <v>4.1111111111111112E-2</v>
      </c>
      <c r="DM98" s="68">
        <f t="shared" si="37"/>
        <v>1110000</v>
      </c>
      <c r="DN98" s="68">
        <f t="shared" si="38"/>
        <v>3330000</v>
      </c>
      <c r="DO98" s="35">
        <v>4</v>
      </c>
      <c r="DP98" s="33">
        <f t="shared" si="39"/>
        <v>0.92326887086712428</v>
      </c>
      <c r="DQ98" s="35">
        <v>2</v>
      </c>
      <c r="DR98" s="69">
        <f t="shared" si="46"/>
        <v>4080000</v>
      </c>
      <c r="DS98" s="33">
        <v>14.8</v>
      </c>
      <c r="DT98" s="68">
        <f t="shared" si="47"/>
        <v>444000</v>
      </c>
      <c r="DU98" s="36">
        <v>14.8</v>
      </c>
      <c r="DV98" s="68">
        <f t="shared" si="48"/>
        <v>148000</v>
      </c>
      <c r="DW98" s="69">
        <f t="shared" si="40"/>
        <v>9112000</v>
      </c>
      <c r="DX98" s="33">
        <f t="shared" si="41"/>
        <v>1173.9000000000001</v>
      </c>
    </row>
    <row r="99" spans="1:128" s="83" customFormat="1" ht="29.25" customHeight="1">
      <c r="A99" s="72"/>
      <c r="B99" s="73"/>
      <c r="C99" s="59"/>
      <c r="D99" s="74"/>
      <c r="E99" s="75"/>
      <c r="F99" s="76"/>
      <c r="G99" s="72"/>
      <c r="H99" s="72"/>
      <c r="I99" s="77"/>
      <c r="J99" s="74"/>
      <c r="K99" s="72"/>
      <c r="L99" s="72"/>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95"/>
      <c r="AV99" s="77"/>
      <c r="AW99" s="77"/>
      <c r="AX99" s="77"/>
      <c r="AY99" s="77"/>
      <c r="AZ99" s="77"/>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c r="CU99" s="77"/>
      <c r="CV99" s="77"/>
      <c r="CW99" s="77"/>
      <c r="CX99" s="78"/>
      <c r="CY99" s="78"/>
      <c r="CZ99" s="78"/>
      <c r="DA99" s="79"/>
      <c r="DB99" s="77"/>
      <c r="DC99" s="59"/>
      <c r="DD99" s="72"/>
      <c r="DE99" s="80"/>
      <c r="DF99" s="72"/>
      <c r="DG99" s="81"/>
      <c r="DH99" s="132" t="s">
        <v>494</v>
      </c>
      <c r="DI99" s="120"/>
      <c r="DJ99" s="120"/>
      <c r="DK99" s="81">
        <f>SUM(DK7:DK98)</f>
        <v>84134.000000000015</v>
      </c>
      <c r="DL99" s="81"/>
      <c r="DM99" s="82">
        <f>SUM(DM7:DM98)</f>
        <v>6310063000</v>
      </c>
      <c r="DN99" s="82">
        <f>SUM(DN7:DN98)</f>
        <v>18930163000</v>
      </c>
      <c r="DO99" s="70">
        <f>SUM(DO7:DO98)</f>
        <v>299</v>
      </c>
      <c r="DP99" s="82"/>
      <c r="DQ99" s="82"/>
      <c r="DR99" s="82">
        <f t="shared" ref="DR99:DW99" si="51">SUM(DR7:DR98)</f>
        <v>1322430000</v>
      </c>
      <c r="DS99" s="82">
        <f t="shared" si="51"/>
        <v>82345.60000000002</v>
      </c>
      <c r="DT99" s="82">
        <f t="shared" si="51"/>
        <v>2470368000</v>
      </c>
      <c r="DU99" s="82">
        <f t="shared" si="51"/>
        <v>85362.900000000023</v>
      </c>
      <c r="DV99" s="82">
        <f t="shared" si="51"/>
        <v>841340000</v>
      </c>
      <c r="DW99" s="133">
        <f t="shared" si="51"/>
        <v>29874364000</v>
      </c>
      <c r="DX99" s="118"/>
    </row>
    <row r="100" spans="1:128" ht="32.25" customHeight="1">
      <c r="A100" s="121"/>
      <c r="C100" s="121"/>
      <c r="D100" s="121"/>
      <c r="E100" s="121"/>
      <c r="F100" s="121"/>
      <c r="G100" s="121"/>
      <c r="H100" s="121"/>
      <c r="I100" s="121"/>
      <c r="J100" s="122"/>
      <c r="K100" s="121"/>
      <c r="L100" s="121"/>
      <c r="M100" s="121"/>
      <c r="N100" s="121"/>
      <c r="O100" s="121"/>
      <c r="P100" s="121"/>
      <c r="Q100" s="121"/>
      <c r="R100" s="121"/>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c r="AU100" s="124"/>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23"/>
      <c r="CH100" s="123"/>
      <c r="CI100" s="123"/>
      <c r="CJ100" s="123"/>
      <c r="CK100" s="123"/>
      <c r="CL100" s="123"/>
      <c r="CM100" s="123"/>
      <c r="CN100" s="123"/>
      <c r="CO100" s="123"/>
      <c r="CP100" s="123"/>
      <c r="CQ100" s="123"/>
      <c r="CR100" s="123"/>
      <c r="CS100" s="123"/>
      <c r="CT100" s="123"/>
      <c r="CU100" s="123"/>
      <c r="CV100" s="123"/>
      <c r="CW100" s="123"/>
      <c r="CX100" s="125"/>
      <c r="CY100" s="125"/>
      <c r="CZ100" s="125"/>
      <c r="DA100" s="123"/>
      <c r="DB100" s="123"/>
      <c r="DC100" s="126"/>
      <c r="DD100" s="121"/>
      <c r="DE100" s="121"/>
      <c r="DF100" s="121"/>
      <c r="DG100" s="127"/>
      <c r="DH100" s="134" t="s">
        <v>542</v>
      </c>
      <c r="DI100" s="135"/>
      <c r="DJ100" s="135"/>
      <c r="DK100" s="135"/>
      <c r="DL100" s="135"/>
      <c r="DM100" s="135"/>
      <c r="DN100" s="135"/>
      <c r="DO100" s="135"/>
      <c r="DP100" s="135"/>
      <c r="DQ100" s="135"/>
      <c r="DR100" s="135"/>
      <c r="DS100" s="135"/>
      <c r="DT100" s="135"/>
      <c r="DU100" s="135"/>
      <c r="DV100" s="136"/>
      <c r="DW100" s="133">
        <v>598000000</v>
      </c>
    </row>
    <row r="101" spans="1:128" ht="29.25" customHeight="1">
      <c r="A101" s="121"/>
      <c r="C101" s="121"/>
      <c r="D101" s="121"/>
      <c r="E101" s="121"/>
      <c r="F101" s="121"/>
      <c r="G101" s="121"/>
      <c r="H101" s="121"/>
      <c r="I101" s="121"/>
      <c r="J101" s="122"/>
      <c r="K101" s="121"/>
      <c r="L101" s="121"/>
      <c r="M101" s="121"/>
      <c r="N101" s="121"/>
      <c r="O101" s="121"/>
      <c r="P101" s="121"/>
      <c r="Q101" s="121"/>
      <c r="R101" s="121"/>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c r="AU101" s="124"/>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c r="CS101" s="123"/>
      <c r="CT101" s="123"/>
      <c r="CU101" s="123"/>
      <c r="CV101" s="123"/>
      <c r="CW101" s="123"/>
      <c r="CX101" s="125"/>
      <c r="CY101" s="125"/>
      <c r="CZ101" s="125"/>
      <c r="DA101" s="123"/>
      <c r="DB101" s="123"/>
      <c r="DC101" s="126"/>
      <c r="DD101" s="121"/>
      <c r="DE101" s="121"/>
      <c r="DF101" s="121"/>
      <c r="DG101" s="127"/>
      <c r="DH101" s="128" t="s">
        <v>543</v>
      </c>
      <c r="DI101" s="129"/>
      <c r="DJ101" s="129"/>
      <c r="DK101" s="130"/>
      <c r="DL101" s="130"/>
      <c r="DM101" s="137">
        <f>DM99</f>
        <v>6310063000</v>
      </c>
      <c r="DN101" s="137">
        <f t="shared" ref="DN101:DV101" si="52">DN99</f>
        <v>18930163000</v>
      </c>
      <c r="DO101" s="137"/>
      <c r="DP101" s="137"/>
      <c r="DQ101" s="137"/>
      <c r="DR101" s="137">
        <f t="shared" si="52"/>
        <v>1322430000</v>
      </c>
      <c r="DS101" s="137"/>
      <c r="DT101" s="137">
        <f t="shared" si="52"/>
        <v>2470368000</v>
      </c>
      <c r="DU101" s="137">
        <f t="shared" si="52"/>
        <v>85362.900000000023</v>
      </c>
      <c r="DV101" s="137">
        <f t="shared" si="52"/>
        <v>841340000</v>
      </c>
      <c r="DW101" s="131">
        <f>DW99+DW100</f>
        <v>30472364000</v>
      </c>
    </row>
    <row r="102" spans="1:128">
      <c r="B102" s="119"/>
    </row>
    <row r="105" spans="1:128">
      <c r="DN105" s="138"/>
    </row>
    <row r="106" spans="1:128">
      <c r="DN106" s="138"/>
    </row>
  </sheetData>
  <mergeCells count="39">
    <mergeCell ref="DH100:DV100"/>
    <mergeCell ref="DV4:DW4"/>
    <mergeCell ref="DA5:DA6"/>
    <mergeCell ref="L5:L6"/>
    <mergeCell ref="A5:A6"/>
    <mergeCell ref="B5:B6"/>
    <mergeCell ref="C5:C6"/>
    <mergeCell ref="D5:D6"/>
    <mergeCell ref="F5:F6"/>
    <mergeCell ref="G5:G6"/>
    <mergeCell ref="H5:H6"/>
    <mergeCell ref="I5:I6"/>
    <mergeCell ref="J5:J6"/>
    <mergeCell ref="K5:K6"/>
    <mergeCell ref="T5:V6"/>
    <mergeCell ref="W5:W6"/>
    <mergeCell ref="X5:X6"/>
    <mergeCell ref="Z5:CW5"/>
    <mergeCell ref="M5:M6"/>
    <mergeCell ref="N5:N6"/>
    <mergeCell ref="O5:O6"/>
    <mergeCell ref="P5:Q5"/>
    <mergeCell ref="R5:S5"/>
    <mergeCell ref="DW5:DW6"/>
    <mergeCell ref="DX5:DX6"/>
    <mergeCell ref="DV5:DV6"/>
    <mergeCell ref="DL5:DL6"/>
    <mergeCell ref="A1:DW1"/>
    <mergeCell ref="A2:DW2"/>
    <mergeCell ref="A3:DW3"/>
    <mergeCell ref="DK5:DK6"/>
    <mergeCell ref="DM5:DM6"/>
    <mergeCell ref="DN5:DN6"/>
    <mergeCell ref="DO5:DR5"/>
    <mergeCell ref="DS5:DT5"/>
    <mergeCell ref="DC5:DG5"/>
    <mergeCell ref="DH5:DH6"/>
    <mergeCell ref="DB5:DB6"/>
    <mergeCell ref="Y5:Y6"/>
  </mergeCells>
  <conditionalFormatting sqref="F39:H83">
    <cfRule type="expression" dxfId="3" priority="1">
      <formula>"New Rule =or(cell(""row"")=row();cell(""col"")=column())"</formula>
    </cfRule>
    <cfRule type="expression" dxfId="2" priority="2">
      <formula>OR(CELL("row")=ROW(),CELL("col")=COLUMN())</formula>
    </cfRule>
  </conditionalFormatting>
  <pageMargins left="0.24" right="0.19" top="0.23" bottom="0.24" header="0.2" footer="0.2"/>
  <pageSetup paperSize="9" scale="76" orientation="landscape" verticalDpi="0"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106"/>
  <sheetViews>
    <sheetView workbookViewId="0">
      <selection sqref="A1:DW1"/>
    </sheetView>
  </sheetViews>
  <sheetFormatPr defaultColWidth="10.7109375" defaultRowHeight="15"/>
  <cols>
    <col min="1" max="1" width="4.28515625" style="8" customWidth="1"/>
    <col min="2" max="2" width="5.140625" style="9" hidden="1" customWidth="1"/>
    <col min="3" max="4" width="17.28515625" style="8" hidden="1" customWidth="1"/>
    <col min="5" max="5" width="7.5703125" style="8" hidden="1" customWidth="1"/>
    <col min="6" max="6" width="5.5703125" style="8" hidden="1" customWidth="1"/>
    <col min="7" max="7" width="6.28515625" style="8" hidden="1" customWidth="1"/>
    <col min="8" max="8" width="5.140625" style="8" hidden="1" customWidth="1"/>
    <col min="9" max="9" width="8" style="8" hidden="1" customWidth="1"/>
    <col min="10" max="10" width="15.42578125" style="10" hidden="1" customWidth="1"/>
    <col min="11" max="11" width="7.28515625" style="8" hidden="1" customWidth="1"/>
    <col min="12" max="12" width="7.42578125" style="8" hidden="1" customWidth="1"/>
    <col min="13" max="13" width="8.42578125" style="8" hidden="1" customWidth="1"/>
    <col min="14" max="18" width="8.28515625" style="8" hidden="1" customWidth="1"/>
    <col min="19" max="21" width="8.28515625" style="11" hidden="1" customWidth="1"/>
    <col min="22" max="22" width="7.42578125" style="11" hidden="1" customWidth="1"/>
    <col min="23" max="23" width="9" style="11" hidden="1" customWidth="1"/>
    <col min="24" max="24" width="7" style="11" hidden="1" customWidth="1"/>
    <col min="25" max="46" width="9" style="11" hidden="1" customWidth="1"/>
    <col min="47" max="47" width="9" style="17" hidden="1" customWidth="1"/>
    <col min="48" max="101" width="9" style="11" hidden="1" customWidth="1"/>
    <col min="102" max="104" width="9" style="15" hidden="1" customWidth="1"/>
    <col min="105" max="105" width="9" style="11" hidden="1" customWidth="1"/>
    <col min="106" max="106" width="7.140625" style="11" hidden="1" customWidth="1"/>
    <col min="107" max="107" width="12.140625" style="12" hidden="1" customWidth="1"/>
    <col min="108" max="108" width="4.140625" style="8" hidden="1" customWidth="1"/>
    <col min="109" max="109" width="4.85546875" style="8" hidden="1" customWidth="1"/>
    <col min="110" max="110" width="5.42578125" style="8" hidden="1" customWidth="1"/>
    <col min="111" max="111" width="4.28515625" style="13" hidden="1" customWidth="1"/>
    <col min="112" max="112" width="48.140625" style="64" customWidth="1"/>
    <col min="113" max="113" width="9.42578125" style="8" hidden="1" customWidth="1"/>
    <col min="114" max="114" width="9.7109375" style="8" hidden="1" customWidth="1"/>
    <col min="115" max="115" width="8.85546875" style="11" customWidth="1"/>
    <col min="116" max="116" width="8.85546875" style="11" hidden="1" customWidth="1"/>
    <col min="117" max="117" width="14.85546875" style="19" customWidth="1"/>
    <col min="118" max="118" width="15.85546875" style="19" customWidth="1"/>
    <col min="119" max="119" width="7.7109375" style="8" customWidth="1"/>
    <col min="120" max="120" width="6.5703125" style="11" customWidth="1"/>
    <col min="121" max="121" width="7.42578125" style="8" customWidth="1"/>
    <col min="122" max="122" width="14.85546875" style="11" customWidth="1"/>
    <col min="123" max="123" width="11.85546875" style="11" customWidth="1"/>
    <col min="124" max="124" width="15" style="19" customWidth="1"/>
    <col min="125" max="125" width="12.28515625" style="19" hidden="1" customWidth="1"/>
    <col min="126" max="126" width="12.85546875" style="19" customWidth="1"/>
    <col min="127" max="127" width="19.140625" style="11" customWidth="1"/>
    <col min="128" max="128" width="1.140625" style="11" hidden="1" customWidth="1"/>
    <col min="129" max="16384" width="10.7109375" style="8"/>
  </cols>
  <sheetData>
    <row r="1" spans="1:128" ht="24" customHeight="1">
      <c r="A1" s="103" t="s">
        <v>545</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65"/>
    </row>
    <row r="2" spans="1:128" ht="36.6" customHeight="1">
      <c r="A2" s="104" t="s">
        <v>534</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4"/>
      <c r="CK2" s="104"/>
      <c r="CL2" s="104"/>
      <c r="CM2" s="104"/>
      <c r="CN2" s="104"/>
      <c r="CO2" s="104"/>
      <c r="CP2" s="104"/>
      <c r="CQ2" s="104"/>
      <c r="CR2" s="104"/>
      <c r="CS2" s="104"/>
      <c r="CT2" s="104"/>
      <c r="CU2" s="104"/>
      <c r="CV2" s="104"/>
      <c r="CW2" s="104"/>
      <c r="CX2" s="104"/>
      <c r="CY2" s="104"/>
      <c r="CZ2" s="104"/>
      <c r="DA2" s="104"/>
      <c r="DB2" s="104"/>
      <c r="DC2" s="104"/>
      <c r="DD2" s="104"/>
      <c r="DE2" s="104"/>
      <c r="DF2" s="104"/>
      <c r="DG2" s="104"/>
      <c r="DH2" s="104"/>
      <c r="DI2" s="104"/>
      <c r="DJ2" s="104"/>
      <c r="DK2" s="104"/>
      <c r="DL2" s="104"/>
      <c r="DM2" s="104"/>
      <c r="DN2" s="104"/>
      <c r="DO2" s="104"/>
      <c r="DP2" s="104"/>
      <c r="DQ2" s="104"/>
      <c r="DR2" s="104"/>
      <c r="DS2" s="104"/>
      <c r="DT2" s="104"/>
      <c r="DU2" s="104"/>
      <c r="DV2" s="104"/>
      <c r="DW2" s="104"/>
      <c r="DX2" s="93"/>
    </row>
    <row r="3" spans="1:128" ht="24" customHeight="1">
      <c r="A3" s="117" t="s">
        <v>544</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5"/>
      <c r="CJ3" s="105"/>
      <c r="CK3" s="105"/>
      <c r="CL3" s="105"/>
      <c r="CM3" s="105"/>
      <c r="CN3" s="105"/>
      <c r="CO3" s="105"/>
      <c r="CP3" s="105"/>
      <c r="CQ3" s="105"/>
      <c r="CR3" s="105"/>
      <c r="CS3" s="105"/>
      <c r="CT3" s="105"/>
      <c r="CU3" s="105"/>
      <c r="CV3" s="105"/>
      <c r="CW3" s="105"/>
      <c r="CX3" s="105"/>
      <c r="CY3" s="105"/>
      <c r="CZ3" s="105"/>
      <c r="DA3" s="105"/>
      <c r="DB3" s="105"/>
      <c r="DC3" s="105"/>
      <c r="DD3" s="105"/>
      <c r="DE3" s="105"/>
      <c r="DF3" s="105"/>
      <c r="DG3" s="105"/>
      <c r="DH3" s="105"/>
      <c r="DI3" s="105"/>
      <c r="DJ3" s="105"/>
      <c r="DK3" s="105"/>
      <c r="DL3" s="105"/>
      <c r="DM3" s="105"/>
      <c r="DN3" s="105"/>
      <c r="DO3" s="105"/>
      <c r="DP3" s="105"/>
      <c r="DQ3" s="105"/>
      <c r="DR3" s="105"/>
      <c r="DS3" s="105"/>
      <c r="DT3" s="105"/>
      <c r="DU3" s="105"/>
      <c r="DV3" s="105"/>
      <c r="DW3" s="105"/>
      <c r="DX3" s="66"/>
    </row>
    <row r="4" spans="1:128" ht="23.45" customHeight="1">
      <c r="A4" s="3"/>
      <c r="B4" s="3"/>
      <c r="C4" s="4"/>
      <c r="D4" s="4"/>
      <c r="E4" s="4"/>
      <c r="F4" s="4"/>
      <c r="G4" s="3"/>
      <c r="H4" s="3"/>
      <c r="I4" s="4"/>
      <c r="J4" s="3"/>
      <c r="K4" s="3"/>
      <c r="L4" s="3"/>
      <c r="M4" s="4"/>
      <c r="N4" s="4"/>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16"/>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14"/>
      <c r="CY4" s="14"/>
      <c r="CZ4" s="14"/>
      <c r="DA4" s="3"/>
      <c r="DB4" s="3"/>
      <c r="DC4" s="3"/>
      <c r="DD4" s="3"/>
      <c r="DE4" s="3"/>
      <c r="DF4" s="3"/>
      <c r="DG4" s="5"/>
      <c r="DH4" s="63"/>
      <c r="DI4" s="3"/>
      <c r="DJ4" s="3"/>
      <c r="DK4" s="5"/>
      <c r="DL4" s="5"/>
      <c r="DM4" s="18"/>
      <c r="DN4" s="18"/>
      <c r="DO4" s="3"/>
      <c r="DP4" s="5"/>
      <c r="DQ4" s="3"/>
      <c r="DR4" s="5"/>
      <c r="DS4" s="5"/>
      <c r="DU4" s="67"/>
      <c r="DV4" s="108" t="s">
        <v>489</v>
      </c>
      <c r="DW4" s="108"/>
      <c r="DX4" s="67"/>
    </row>
    <row r="5" spans="1:128" s="94" customFormat="1" ht="37.9" customHeight="1">
      <c r="A5" s="109" t="s">
        <v>0</v>
      </c>
      <c r="B5" s="110" t="s">
        <v>21</v>
      </c>
      <c r="C5" s="99" t="s">
        <v>1</v>
      </c>
      <c r="D5" s="99" t="s">
        <v>444</v>
      </c>
      <c r="E5" s="90"/>
      <c r="F5" s="99" t="s">
        <v>2</v>
      </c>
      <c r="G5" s="99" t="s">
        <v>3</v>
      </c>
      <c r="H5" s="99" t="s">
        <v>4</v>
      </c>
      <c r="I5" s="99" t="s">
        <v>5</v>
      </c>
      <c r="J5" s="99" t="s">
        <v>6</v>
      </c>
      <c r="K5" s="99" t="s">
        <v>7</v>
      </c>
      <c r="L5" s="99" t="s">
        <v>8</v>
      </c>
      <c r="M5" s="99" t="s">
        <v>9</v>
      </c>
      <c r="N5" s="99" t="s">
        <v>10</v>
      </c>
      <c r="O5" s="99" t="s">
        <v>11</v>
      </c>
      <c r="P5" s="99" t="s">
        <v>12</v>
      </c>
      <c r="Q5" s="99"/>
      <c r="R5" s="99" t="s">
        <v>13</v>
      </c>
      <c r="S5" s="99"/>
      <c r="T5" s="111" t="s">
        <v>26</v>
      </c>
      <c r="U5" s="112"/>
      <c r="V5" s="113"/>
      <c r="W5" s="99" t="s">
        <v>14</v>
      </c>
      <c r="X5" s="99" t="s">
        <v>15</v>
      </c>
      <c r="Y5" s="99" t="s">
        <v>16</v>
      </c>
      <c r="Z5" s="99" t="s">
        <v>17</v>
      </c>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99"/>
      <c r="BJ5" s="99"/>
      <c r="BK5" s="99"/>
      <c r="BL5" s="99"/>
      <c r="BM5" s="99"/>
      <c r="BN5" s="99"/>
      <c r="BO5" s="99"/>
      <c r="BP5" s="99"/>
      <c r="BQ5" s="99"/>
      <c r="BR5" s="99"/>
      <c r="BS5" s="99"/>
      <c r="BT5" s="99"/>
      <c r="BU5" s="99"/>
      <c r="BV5" s="99"/>
      <c r="BW5" s="99"/>
      <c r="BX5" s="99"/>
      <c r="BY5" s="99"/>
      <c r="BZ5" s="99"/>
      <c r="CA5" s="99"/>
      <c r="CB5" s="99"/>
      <c r="CC5" s="99"/>
      <c r="CD5" s="99"/>
      <c r="CE5" s="99"/>
      <c r="CF5" s="99"/>
      <c r="CG5" s="99"/>
      <c r="CH5" s="99"/>
      <c r="CI5" s="99"/>
      <c r="CJ5" s="99"/>
      <c r="CK5" s="99"/>
      <c r="CL5" s="99"/>
      <c r="CM5" s="99"/>
      <c r="CN5" s="99"/>
      <c r="CO5" s="99"/>
      <c r="CP5" s="99"/>
      <c r="CQ5" s="99"/>
      <c r="CR5" s="99"/>
      <c r="CS5" s="99"/>
      <c r="CT5" s="99"/>
      <c r="CU5" s="99"/>
      <c r="CV5" s="99"/>
      <c r="CW5" s="99"/>
      <c r="CX5" s="20"/>
      <c r="CY5" s="20"/>
      <c r="CZ5" s="20"/>
      <c r="DA5" s="99" t="s">
        <v>402</v>
      </c>
      <c r="DB5" s="99" t="s">
        <v>18</v>
      </c>
      <c r="DC5" s="99" t="s">
        <v>19</v>
      </c>
      <c r="DD5" s="99"/>
      <c r="DE5" s="99"/>
      <c r="DF5" s="99"/>
      <c r="DG5" s="99"/>
      <c r="DH5" s="101" t="s">
        <v>445</v>
      </c>
      <c r="DI5" s="91" t="s">
        <v>513</v>
      </c>
      <c r="DJ5" s="91" t="s">
        <v>514</v>
      </c>
      <c r="DK5" s="101" t="s">
        <v>523</v>
      </c>
      <c r="DL5" s="101" t="s">
        <v>527</v>
      </c>
      <c r="DM5" s="99" t="s">
        <v>535</v>
      </c>
      <c r="DN5" s="97" t="s">
        <v>490</v>
      </c>
      <c r="DO5" s="106" t="s">
        <v>536</v>
      </c>
      <c r="DP5" s="106"/>
      <c r="DQ5" s="106"/>
      <c r="DR5" s="106"/>
      <c r="DS5" s="107" t="s">
        <v>537</v>
      </c>
      <c r="DT5" s="107"/>
      <c r="DV5" s="97" t="s">
        <v>538</v>
      </c>
      <c r="DW5" s="97" t="s">
        <v>488</v>
      </c>
      <c r="DX5" s="99" t="s">
        <v>20</v>
      </c>
    </row>
    <row r="6" spans="1:128" s="94" customFormat="1" ht="61.15" customHeight="1">
      <c r="A6" s="109"/>
      <c r="B6" s="110"/>
      <c r="C6" s="99"/>
      <c r="D6" s="99"/>
      <c r="E6" s="90" t="s">
        <v>22</v>
      </c>
      <c r="F6" s="99"/>
      <c r="G6" s="99"/>
      <c r="H6" s="99"/>
      <c r="I6" s="99"/>
      <c r="J6" s="99"/>
      <c r="K6" s="99"/>
      <c r="L6" s="99"/>
      <c r="M6" s="99"/>
      <c r="N6" s="99"/>
      <c r="O6" s="99"/>
      <c r="P6" s="21" t="s">
        <v>23</v>
      </c>
      <c r="Q6" s="21" t="s">
        <v>24</v>
      </c>
      <c r="R6" s="21" t="s">
        <v>23</v>
      </c>
      <c r="S6" s="21" t="s">
        <v>25</v>
      </c>
      <c r="T6" s="114"/>
      <c r="U6" s="115"/>
      <c r="V6" s="116"/>
      <c r="W6" s="99"/>
      <c r="X6" s="99"/>
      <c r="Y6" s="99"/>
      <c r="Z6" s="90" t="s">
        <v>26</v>
      </c>
      <c r="AA6" s="90" t="s">
        <v>27</v>
      </c>
      <c r="AB6" s="90" t="s">
        <v>28</v>
      </c>
      <c r="AC6" s="90" t="s">
        <v>29</v>
      </c>
      <c r="AD6" s="90" t="s">
        <v>30</v>
      </c>
      <c r="AE6" s="90" t="s">
        <v>31</v>
      </c>
      <c r="AF6" s="90" t="s">
        <v>32</v>
      </c>
      <c r="AG6" s="90" t="s">
        <v>33</v>
      </c>
      <c r="AH6" s="90" t="s">
        <v>34</v>
      </c>
      <c r="AI6" s="90" t="s">
        <v>35</v>
      </c>
      <c r="AJ6" s="90" t="s">
        <v>36</v>
      </c>
      <c r="AK6" s="90" t="s">
        <v>37</v>
      </c>
      <c r="AL6" s="90" t="s">
        <v>38</v>
      </c>
      <c r="AM6" s="90" t="s">
        <v>482</v>
      </c>
      <c r="AN6" s="90" t="s">
        <v>39</v>
      </c>
      <c r="AO6" s="90" t="s">
        <v>40</v>
      </c>
      <c r="AP6" s="90" t="s">
        <v>41</v>
      </c>
      <c r="AQ6" s="90" t="s">
        <v>42</v>
      </c>
      <c r="AR6" s="90" t="s">
        <v>483</v>
      </c>
      <c r="AS6" s="90" t="s">
        <v>408</v>
      </c>
      <c r="AT6" s="90" t="s">
        <v>44</v>
      </c>
      <c r="AU6" s="22" t="s">
        <v>484</v>
      </c>
      <c r="AV6" s="90" t="s">
        <v>27</v>
      </c>
      <c r="AW6" s="90" t="s">
        <v>45</v>
      </c>
      <c r="AX6" s="90" t="s">
        <v>46</v>
      </c>
      <c r="AY6" s="90" t="s">
        <v>47</v>
      </c>
      <c r="AZ6" s="90" t="s">
        <v>48</v>
      </c>
      <c r="BA6" s="90" t="s">
        <v>49</v>
      </c>
      <c r="BB6" s="90" t="s">
        <v>50</v>
      </c>
      <c r="BC6" s="90" t="s">
        <v>51</v>
      </c>
      <c r="BD6" s="90" t="s">
        <v>52</v>
      </c>
      <c r="BE6" s="90" t="s">
        <v>53</v>
      </c>
      <c r="BF6" s="90" t="s">
        <v>54</v>
      </c>
      <c r="BG6" s="90" t="s">
        <v>55</v>
      </c>
      <c r="BH6" s="90" t="s">
        <v>56</v>
      </c>
      <c r="BI6" s="90" t="s">
        <v>57</v>
      </c>
      <c r="BJ6" s="90" t="s">
        <v>58</v>
      </c>
      <c r="BK6" s="90" t="s">
        <v>59</v>
      </c>
      <c r="BL6" s="90" t="s">
        <v>60</v>
      </c>
      <c r="BM6" s="90" t="s">
        <v>61</v>
      </c>
      <c r="BN6" s="90" t="s">
        <v>62</v>
      </c>
      <c r="BO6" s="90" t="s">
        <v>63</v>
      </c>
      <c r="BP6" s="90" t="s">
        <v>64</v>
      </c>
      <c r="BQ6" s="90" t="s">
        <v>65</v>
      </c>
      <c r="BR6" s="90" t="s">
        <v>66</v>
      </c>
      <c r="BS6" s="90" t="s">
        <v>67</v>
      </c>
      <c r="BT6" s="90" t="s">
        <v>68</v>
      </c>
      <c r="BU6" s="90" t="s">
        <v>69</v>
      </c>
      <c r="BV6" s="90" t="s">
        <v>70</v>
      </c>
      <c r="BW6" s="90" t="s">
        <v>71</v>
      </c>
      <c r="BX6" s="90" t="s">
        <v>72</v>
      </c>
      <c r="BY6" s="90" t="s">
        <v>73</v>
      </c>
      <c r="BZ6" s="90" t="s">
        <v>74</v>
      </c>
      <c r="CA6" s="90" t="s">
        <v>75</v>
      </c>
      <c r="CB6" s="90" t="s">
        <v>76</v>
      </c>
      <c r="CC6" s="90" t="s">
        <v>77</v>
      </c>
      <c r="CD6" s="90" t="s">
        <v>78</v>
      </c>
      <c r="CE6" s="90" t="s">
        <v>79</v>
      </c>
      <c r="CF6" s="90" t="s">
        <v>80</v>
      </c>
      <c r="CG6" s="90" t="s">
        <v>81</v>
      </c>
      <c r="CH6" s="90" t="s">
        <v>82</v>
      </c>
      <c r="CI6" s="90" t="s">
        <v>83</v>
      </c>
      <c r="CJ6" s="90" t="s">
        <v>43</v>
      </c>
      <c r="CK6" s="90" t="s">
        <v>84</v>
      </c>
      <c r="CL6" s="90" t="s">
        <v>85</v>
      </c>
      <c r="CM6" s="90" t="s">
        <v>86</v>
      </c>
      <c r="CN6" s="90" t="s">
        <v>87</v>
      </c>
      <c r="CO6" s="90" t="s">
        <v>88</v>
      </c>
      <c r="CP6" s="90" t="s">
        <v>89</v>
      </c>
      <c r="CQ6" s="90" t="s">
        <v>90</v>
      </c>
      <c r="CR6" s="90" t="s">
        <v>91</v>
      </c>
      <c r="CS6" s="90" t="s">
        <v>92</v>
      </c>
      <c r="CT6" s="90" t="s">
        <v>93</v>
      </c>
      <c r="CU6" s="90" t="s">
        <v>94</v>
      </c>
      <c r="CV6" s="90" t="s">
        <v>95</v>
      </c>
      <c r="CW6" s="90" t="s">
        <v>96</v>
      </c>
      <c r="CX6" s="20" t="s">
        <v>486</v>
      </c>
      <c r="CY6" s="20" t="s">
        <v>485</v>
      </c>
      <c r="CZ6" s="20" t="s">
        <v>20</v>
      </c>
      <c r="DA6" s="99"/>
      <c r="DB6" s="99"/>
      <c r="DC6" s="90" t="s">
        <v>97</v>
      </c>
      <c r="DD6" s="90" t="s">
        <v>98</v>
      </c>
      <c r="DE6" s="90" t="s">
        <v>99</v>
      </c>
      <c r="DF6" s="90" t="s">
        <v>4</v>
      </c>
      <c r="DG6" s="23" t="s">
        <v>100</v>
      </c>
      <c r="DH6" s="102"/>
      <c r="DI6" s="92"/>
      <c r="DJ6" s="92"/>
      <c r="DK6" s="102"/>
      <c r="DL6" s="102"/>
      <c r="DM6" s="99"/>
      <c r="DN6" s="98"/>
      <c r="DO6" s="25" t="s">
        <v>524</v>
      </c>
      <c r="DP6" s="24" t="s">
        <v>539</v>
      </c>
      <c r="DQ6" s="25" t="s">
        <v>525</v>
      </c>
      <c r="DR6" s="25" t="s">
        <v>487</v>
      </c>
      <c r="DS6" s="23" t="s">
        <v>526</v>
      </c>
      <c r="DT6" s="23" t="s">
        <v>487</v>
      </c>
      <c r="DU6" s="61" t="s">
        <v>495</v>
      </c>
      <c r="DV6" s="100"/>
      <c r="DW6" s="98"/>
      <c r="DX6" s="99"/>
    </row>
    <row r="7" spans="1:128" s="37" customFormat="1" ht="26.25" customHeight="1">
      <c r="A7" s="26">
        <v>1</v>
      </c>
      <c r="B7" s="27" t="s">
        <v>101</v>
      </c>
      <c r="C7" s="89" t="s">
        <v>102</v>
      </c>
      <c r="D7" s="89" t="s">
        <v>102</v>
      </c>
      <c r="E7" s="87" t="s">
        <v>103</v>
      </c>
      <c r="F7" s="28" t="s">
        <v>104</v>
      </c>
      <c r="G7" s="26">
        <v>608</v>
      </c>
      <c r="H7" s="26">
        <v>49</v>
      </c>
      <c r="I7" s="29">
        <v>538.1</v>
      </c>
      <c r="J7" s="88"/>
      <c r="K7" s="26"/>
      <c r="L7" s="26"/>
      <c r="M7" s="29">
        <f t="shared" ref="M7:M69" si="0">(K7*486)+(L7*80)</f>
        <v>0</v>
      </c>
      <c r="N7" s="29"/>
      <c r="O7" s="29">
        <v>538.1</v>
      </c>
      <c r="P7" s="29">
        <f>Q7*4</f>
        <v>0</v>
      </c>
      <c r="Q7" s="29"/>
      <c r="R7" s="29">
        <f t="shared" ref="R7:R15" si="1">S7*2</f>
        <v>0</v>
      </c>
      <c r="S7" s="29"/>
      <c r="T7" s="29">
        <f t="shared" ref="T7:T35" si="2">U7+V7</f>
        <v>0</v>
      </c>
      <c r="U7" s="29"/>
      <c r="V7" s="29"/>
      <c r="W7" s="29">
        <f t="shared" ref="W7:W69" si="3">M7-N7+O7-Q7+P7-S7+R7-T7</f>
        <v>538.1</v>
      </c>
      <c r="X7" s="29"/>
      <c r="Y7" s="29">
        <f>SUM(AA7:CU7)</f>
        <v>538.1</v>
      </c>
      <c r="Z7" s="29">
        <f t="shared" ref="Z7:Z57" si="4">SUM(AA7:CW7)</f>
        <v>538.1</v>
      </c>
      <c r="AA7" s="29"/>
      <c r="AB7" s="29"/>
      <c r="AC7" s="29"/>
      <c r="AD7" s="29"/>
      <c r="AE7" s="29"/>
      <c r="AF7" s="29"/>
      <c r="AG7" s="29"/>
      <c r="AH7" s="29"/>
      <c r="AI7" s="29"/>
      <c r="AJ7" s="29"/>
      <c r="AK7" s="29"/>
      <c r="AL7" s="29"/>
      <c r="AM7" s="29"/>
      <c r="AN7" s="29">
        <v>538.1</v>
      </c>
      <c r="AO7" s="29"/>
      <c r="AP7" s="29"/>
      <c r="AQ7" s="29"/>
      <c r="AR7" s="29"/>
      <c r="AS7" s="29"/>
      <c r="AT7" s="29"/>
      <c r="AU7" s="30"/>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f t="shared" ref="CV7:CV70" si="5">P7</f>
        <v>0</v>
      </c>
      <c r="CW7" s="29">
        <f t="shared" ref="CW7:CW70" si="6">R7</f>
        <v>0</v>
      </c>
      <c r="CX7" s="31">
        <f t="shared" ref="CX7:CX70" si="7">CY7+DK7</f>
        <v>538.1</v>
      </c>
      <c r="CY7" s="31">
        <v>0</v>
      </c>
      <c r="CZ7" s="31">
        <f>I7-CX7</f>
        <v>0</v>
      </c>
      <c r="DA7" s="88" t="s">
        <v>403</v>
      </c>
      <c r="DB7" s="29">
        <v>538.1</v>
      </c>
      <c r="DC7" s="89" t="s">
        <v>102</v>
      </c>
      <c r="DD7" s="26" t="s">
        <v>105</v>
      </c>
      <c r="DE7" s="32" t="s">
        <v>106</v>
      </c>
      <c r="DF7" s="26">
        <v>4</v>
      </c>
      <c r="DG7" s="33">
        <v>538.1</v>
      </c>
      <c r="DH7" s="39" t="s">
        <v>102</v>
      </c>
      <c r="DI7" s="6" t="s">
        <v>508</v>
      </c>
      <c r="DJ7" s="7" t="s">
        <v>511</v>
      </c>
      <c r="DK7" s="33">
        <v>538.1</v>
      </c>
      <c r="DL7" s="71">
        <f>DK7/360</f>
        <v>1.4947222222222223</v>
      </c>
      <c r="DM7" s="68">
        <f t="shared" ref="DM7:DM70" si="8">ROUND(DK7*75000,-3)</f>
        <v>40358000</v>
      </c>
      <c r="DN7" s="68">
        <f t="shared" ref="DN7:DN70" si="9">ROUND(DK7*225000,-3)</f>
        <v>121073000</v>
      </c>
      <c r="DO7" s="35">
        <v>1</v>
      </c>
      <c r="DP7" s="33">
        <f t="shared" ref="DP7:DP70" si="10">DK7/W7*100</f>
        <v>100</v>
      </c>
      <c r="DQ7" s="35">
        <v>12</v>
      </c>
      <c r="DR7" s="69">
        <f>DO7*DQ7*30*17000</f>
        <v>6120000</v>
      </c>
      <c r="DS7" s="36">
        <v>538.1</v>
      </c>
      <c r="DT7" s="68">
        <f>ROUND(DS7*30000,-3)</f>
        <v>16143000</v>
      </c>
      <c r="DU7" s="36">
        <v>538.1</v>
      </c>
      <c r="DV7" s="68">
        <f>ROUND(DK7*10000,-3)</f>
        <v>5381000</v>
      </c>
      <c r="DW7" s="69">
        <f t="shared" ref="DW7:DW70" si="11">DM7+DN7+DR7+DT7+DV7</f>
        <v>189075000</v>
      </c>
      <c r="DX7" s="33">
        <f t="shared" ref="DX7:DX70" si="12">I7-CX7</f>
        <v>0</v>
      </c>
    </row>
    <row r="8" spans="1:128" s="38" customFormat="1" ht="26.25" customHeight="1">
      <c r="A8" s="26">
        <v>2</v>
      </c>
      <c r="B8" s="27" t="s">
        <v>107</v>
      </c>
      <c r="C8" s="89" t="s">
        <v>108</v>
      </c>
      <c r="D8" s="89" t="s">
        <v>111</v>
      </c>
      <c r="E8" s="87" t="s">
        <v>109</v>
      </c>
      <c r="F8" s="28" t="s">
        <v>104</v>
      </c>
      <c r="G8" s="26">
        <v>609</v>
      </c>
      <c r="H8" s="26">
        <v>49</v>
      </c>
      <c r="I8" s="29">
        <f>2.2+759.1</f>
        <v>761.30000000000007</v>
      </c>
      <c r="J8" s="88" t="s">
        <v>110</v>
      </c>
      <c r="K8" s="26">
        <v>5</v>
      </c>
      <c r="L8" s="26">
        <v>6</v>
      </c>
      <c r="M8" s="29">
        <f t="shared" si="0"/>
        <v>2910</v>
      </c>
      <c r="N8" s="29"/>
      <c r="O8" s="29"/>
      <c r="P8" s="29">
        <f>Q8*4</f>
        <v>0</v>
      </c>
      <c r="Q8" s="29"/>
      <c r="R8" s="29">
        <f t="shared" si="1"/>
        <v>0</v>
      </c>
      <c r="S8" s="29"/>
      <c r="T8" s="29">
        <f t="shared" si="2"/>
        <v>955.9</v>
      </c>
      <c r="U8" s="29">
        <v>17</v>
      </c>
      <c r="V8" s="29">
        <f>315+623.9</f>
        <v>938.9</v>
      </c>
      <c r="W8" s="29">
        <f t="shared" si="3"/>
        <v>1954.1</v>
      </c>
      <c r="X8" s="29">
        <f t="shared" ref="X8:X71" si="13">M8-Q8-S8-U8</f>
        <v>2893</v>
      </c>
      <c r="Y8" s="29">
        <f t="shared" ref="Y8:Y71" si="14">SUM(AA8:CU8)</f>
        <v>2893</v>
      </c>
      <c r="Z8" s="29">
        <f t="shared" si="4"/>
        <v>2893</v>
      </c>
      <c r="AA8" s="29"/>
      <c r="AB8" s="29"/>
      <c r="AC8" s="29"/>
      <c r="AD8" s="29"/>
      <c r="AE8" s="29"/>
      <c r="AF8" s="29"/>
      <c r="AG8" s="29"/>
      <c r="AH8" s="29"/>
      <c r="AI8" s="29"/>
      <c r="AJ8" s="29"/>
      <c r="AK8" s="29"/>
      <c r="AL8" s="29"/>
      <c r="AM8" s="29"/>
      <c r="AN8" s="29">
        <v>1383</v>
      </c>
      <c r="AO8" s="29"/>
      <c r="AP8" s="29"/>
      <c r="AQ8" s="29"/>
      <c r="AR8" s="29"/>
      <c r="AS8" s="29"/>
      <c r="AT8" s="29"/>
      <c r="AU8" s="30"/>
      <c r="AV8" s="29"/>
      <c r="AW8" s="29"/>
      <c r="AX8" s="29"/>
      <c r="AY8" s="29"/>
      <c r="AZ8" s="29"/>
      <c r="BA8" s="29"/>
      <c r="BB8" s="29">
        <v>609</v>
      </c>
      <c r="BC8" s="29">
        <v>226</v>
      </c>
      <c r="BD8" s="29">
        <v>360</v>
      </c>
      <c r="BE8" s="29"/>
      <c r="BF8" s="29">
        <v>315</v>
      </c>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f t="shared" si="5"/>
        <v>0</v>
      </c>
      <c r="CW8" s="29">
        <f t="shared" si="6"/>
        <v>0</v>
      </c>
      <c r="CX8" s="31">
        <f t="shared" si="7"/>
        <v>761.3</v>
      </c>
      <c r="CY8" s="31">
        <v>2.2000000000000002</v>
      </c>
      <c r="CZ8" s="31">
        <f t="shared" ref="CZ8:CZ71" si="15">I8-CX8</f>
        <v>0</v>
      </c>
      <c r="DA8" s="88" t="s">
        <v>403</v>
      </c>
      <c r="DB8" s="29">
        <f>1383-623.9</f>
        <v>759.1</v>
      </c>
      <c r="DC8" s="89"/>
      <c r="DD8" s="26"/>
      <c r="DE8" s="26"/>
      <c r="DF8" s="26"/>
      <c r="DG8" s="33"/>
      <c r="DH8" s="39" t="s">
        <v>111</v>
      </c>
      <c r="DI8" s="6" t="s">
        <v>508</v>
      </c>
      <c r="DJ8" s="7" t="s">
        <v>511</v>
      </c>
      <c r="DK8" s="33">
        <v>759.09999999999991</v>
      </c>
      <c r="DL8" s="71">
        <f t="shared" ref="DL8:DL71" si="16">DK8/360</f>
        <v>2.1086111111111108</v>
      </c>
      <c r="DM8" s="68">
        <f t="shared" si="8"/>
        <v>56933000</v>
      </c>
      <c r="DN8" s="68">
        <f t="shared" si="9"/>
        <v>170798000</v>
      </c>
      <c r="DO8" s="35">
        <v>9</v>
      </c>
      <c r="DP8" s="33">
        <f t="shared" si="10"/>
        <v>38.846527813315589</v>
      </c>
      <c r="DQ8" s="35">
        <v>6</v>
      </c>
      <c r="DR8" s="69">
        <f t="shared" ref="DR8:DR71" si="17">DO8*DQ8*30*17000</f>
        <v>27540000</v>
      </c>
      <c r="DS8" s="33">
        <v>759.09999999999991</v>
      </c>
      <c r="DT8" s="68">
        <f t="shared" ref="DT8:DT71" si="18">ROUND(DS8*30000,-3)</f>
        <v>22773000</v>
      </c>
      <c r="DU8" s="36">
        <f>2.2+759.1</f>
        <v>761.30000000000007</v>
      </c>
      <c r="DV8" s="68">
        <f t="shared" ref="DV8:DV71" si="19">ROUND(DK8*10000,-3)</f>
        <v>7591000</v>
      </c>
      <c r="DW8" s="69">
        <f t="shared" si="11"/>
        <v>285635000</v>
      </c>
      <c r="DX8" s="33">
        <f t="shared" si="12"/>
        <v>0</v>
      </c>
    </row>
    <row r="9" spans="1:128" s="38" customFormat="1" ht="33.75" customHeight="1">
      <c r="A9" s="26">
        <v>3</v>
      </c>
      <c r="B9" s="27" t="s">
        <v>112</v>
      </c>
      <c r="C9" s="89" t="s">
        <v>113</v>
      </c>
      <c r="D9" s="89" t="s">
        <v>446</v>
      </c>
      <c r="E9" s="87" t="s">
        <v>109</v>
      </c>
      <c r="F9" s="28" t="s">
        <v>104</v>
      </c>
      <c r="G9" s="26">
        <v>610</v>
      </c>
      <c r="H9" s="26">
        <v>49</v>
      </c>
      <c r="I9" s="29">
        <v>1206.5</v>
      </c>
      <c r="J9" s="88" t="s">
        <v>114</v>
      </c>
      <c r="K9" s="26">
        <v>4</v>
      </c>
      <c r="L9" s="26">
        <v>4</v>
      </c>
      <c r="M9" s="29">
        <f t="shared" si="0"/>
        <v>2264</v>
      </c>
      <c r="N9" s="29"/>
      <c r="O9" s="29"/>
      <c r="P9" s="29">
        <v>225</v>
      </c>
      <c r="Q9" s="29">
        <v>56</v>
      </c>
      <c r="R9" s="29">
        <f t="shared" si="1"/>
        <v>30</v>
      </c>
      <c r="S9" s="29">
        <v>15</v>
      </c>
      <c r="T9" s="29">
        <f t="shared" si="2"/>
        <v>598.6</v>
      </c>
      <c r="U9" s="29">
        <v>22</v>
      </c>
      <c r="V9" s="29">
        <f>393.6+183</f>
        <v>576.6</v>
      </c>
      <c r="W9" s="29">
        <f t="shared" si="3"/>
        <v>1849.4</v>
      </c>
      <c r="X9" s="29">
        <f t="shared" si="13"/>
        <v>2171</v>
      </c>
      <c r="Y9" s="29">
        <f t="shared" si="14"/>
        <v>2171</v>
      </c>
      <c r="Z9" s="29">
        <f t="shared" si="4"/>
        <v>2426</v>
      </c>
      <c r="AA9" s="29"/>
      <c r="AB9" s="29"/>
      <c r="AC9" s="29"/>
      <c r="AD9" s="29"/>
      <c r="AE9" s="29"/>
      <c r="AF9" s="29"/>
      <c r="AG9" s="29"/>
      <c r="AH9" s="29"/>
      <c r="AI9" s="29"/>
      <c r="AJ9" s="29"/>
      <c r="AK9" s="29"/>
      <c r="AL9" s="29"/>
      <c r="AM9" s="29"/>
      <c r="AN9" s="29">
        <v>1600</v>
      </c>
      <c r="AO9" s="29"/>
      <c r="AP9" s="29"/>
      <c r="AQ9" s="29"/>
      <c r="AR9" s="29"/>
      <c r="AS9" s="29"/>
      <c r="AT9" s="29"/>
      <c r="AU9" s="30">
        <v>183</v>
      </c>
      <c r="AV9" s="29"/>
      <c r="AW9" s="29"/>
      <c r="AX9" s="29"/>
      <c r="AY9" s="29"/>
      <c r="AZ9" s="29"/>
      <c r="BA9" s="29"/>
      <c r="BB9" s="29"/>
      <c r="BC9" s="29">
        <v>175</v>
      </c>
      <c r="BD9" s="29">
        <v>213</v>
      </c>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f t="shared" si="5"/>
        <v>225</v>
      </c>
      <c r="CW9" s="29">
        <f t="shared" si="6"/>
        <v>30</v>
      </c>
      <c r="CX9" s="31">
        <f t="shared" si="7"/>
        <v>1206.5</v>
      </c>
      <c r="CY9" s="31">
        <v>0</v>
      </c>
      <c r="CZ9" s="31">
        <f t="shared" si="15"/>
        <v>0</v>
      </c>
      <c r="DA9" s="88" t="s">
        <v>403</v>
      </c>
      <c r="DB9" s="29">
        <f>1600-393.6</f>
        <v>1206.4000000000001</v>
      </c>
      <c r="DC9" s="89"/>
      <c r="DD9" s="26"/>
      <c r="DE9" s="26"/>
      <c r="DF9" s="26"/>
      <c r="DG9" s="33"/>
      <c r="DH9" s="39" t="s">
        <v>446</v>
      </c>
      <c r="DI9" s="6" t="s">
        <v>508</v>
      </c>
      <c r="DJ9" s="7" t="s">
        <v>511</v>
      </c>
      <c r="DK9" s="33">
        <v>1206.5</v>
      </c>
      <c r="DL9" s="71">
        <f t="shared" si="16"/>
        <v>3.3513888888888888</v>
      </c>
      <c r="DM9" s="68">
        <f t="shared" si="8"/>
        <v>90488000</v>
      </c>
      <c r="DN9" s="68">
        <f t="shared" si="9"/>
        <v>271463000</v>
      </c>
      <c r="DO9" s="35">
        <v>5</v>
      </c>
      <c r="DP9" s="33">
        <f t="shared" si="10"/>
        <v>65.237374283551418</v>
      </c>
      <c r="DQ9" s="35">
        <v>6</v>
      </c>
      <c r="DR9" s="69">
        <f t="shared" si="17"/>
        <v>15300000</v>
      </c>
      <c r="DS9" s="33">
        <v>1206.5</v>
      </c>
      <c r="DT9" s="68">
        <f t="shared" si="18"/>
        <v>36195000</v>
      </c>
      <c r="DU9" s="36">
        <v>1206.5</v>
      </c>
      <c r="DV9" s="68">
        <f t="shared" si="19"/>
        <v>12065000</v>
      </c>
      <c r="DW9" s="69">
        <f t="shared" si="11"/>
        <v>425511000</v>
      </c>
      <c r="DX9" s="33">
        <f t="shared" si="12"/>
        <v>0</v>
      </c>
    </row>
    <row r="10" spans="1:128" s="38" customFormat="1" ht="43.5" customHeight="1">
      <c r="A10" s="26">
        <v>4</v>
      </c>
      <c r="B10" s="27" t="s">
        <v>115</v>
      </c>
      <c r="C10" s="89" t="s">
        <v>116</v>
      </c>
      <c r="D10" s="88" t="s">
        <v>410</v>
      </c>
      <c r="E10" s="87" t="s">
        <v>109</v>
      </c>
      <c r="F10" s="28" t="s">
        <v>104</v>
      </c>
      <c r="G10" s="26">
        <v>611</v>
      </c>
      <c r="H10" s="26">
        <v>49</v>
      </c>
      <c r="I10" s="29">
        <f>4.5+969.6</f>
        <v>974.1</v>
      </c>
      <c r="J10" s="88" t="s">
        <v>117</v>
      </c>
      <c r="K10" s="87">
        <v>3</v>
      </c>
      <c r="L10" s="87">
        <v>1</v>
      </c>
      <c r="M10" s="29">
        <f t="shared" si="0"/>
        <v>1538</v>
      </c>
      <c r="N10" s="29"/>
      <c r="O10" s="29"/>
      <c r="P10" s="29">
        <f t="shared" ref="P10:P15" si="20">Q10*4</f>
        <v>0</v>
      </c>
      <c r="Q10" s="29"/>
      <c r="R10" s="29">
        <f t="shared" si="1"/>
        <v>0</v>
      </c>
      <c r="S10" s="29"/>
      <c r="T10" s="29">
        <f t="shared" si="2"/>
        <v>239.4</v>
      </c>
      <c r="U10" s="29">
        <v>14</v>
      </c>
      <c r="V10" s="29">
        <f>136.4+89</f>
        <v>225.4</v>
      </c>
      <c r="W10" s="29">
        <f t="shared" si="3"/>
        <v>1298.5999999999999</v>
      </c>
      <c r="X10" s="29">
        <f t="shared" si="13"/>
        <v>1524</v>
      </c>
      <c r="Y10" s="29">
        <f t="shared" si="14"/>
        <v>1524</v>
      </c>
      <c r="Z10" s="29">
        <f t="shared" si="4"/>
        <v>1524</v>
      </c>
      <c r="AA10" s="29"/>
      <c r="AB10" s="29"/>
      <c r="AC10" s="29"/>
      <c r="AD10" s="29"/>
      <c r="AE10" s="29"/>
      <c r="AF10" s="29"/>
      <c r="AG10" s="29"/>
      <c r="AH10" s="29"/>
      <c r="AI10" s="29"/>
      <c r="AJ10" s="29"/>
      <c r="AK10" s="29"/>
      <c r="AL10" s="29"/>
      <c r="AM10" s="29"/>
      <c r="AN10" s="29">
        <v>1106</v>
      </c>
      <c r="AO10" s="29"/>
      <c r="AP10" s="29"/>
      <c r="AQ10" s="29"/>
      <c r="AR10" s="29"/>
      <c r="AS10" s="29"/>
      <c r="AT10" s="29"/>
      <c r="AU10" s="30">
        <v>89</v>
      </c>
      <c r="AV10" s="29"/>
      <c r="AW10" s="29"/>
      <c r="AX10" s="29"/>
      <c r="AY10" s="29"/>
      <c r="AZ10" s="29"/>
      <c r="BA10" s="29"/>
      <c r="BB10" s="29"/>
      <c r="BC10" s="29"/>
      <c r="BD10" s="29">
        <v>329</v>
      </c>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f t="shared" si="5"/>
        <v>0</v>
      </c>
      <c r="CW10" s="29">
        <f t="shared" si="6"/>
        <v>0</v>
      </c>
      <c r="CX10" s="31">
        <f t="shared" si="7"/>
        <v>974.09999999999991</v>
      </c>
      <c r="CY10" s="31">
        <v>4.5</v>
      </c>
      <c r="CZ10" s="31">
        <f t="shared" si="15"/>
        <v>0</v>
      </c>
      <c r="DA10" s="88" t="s">
        <v>403</v>
      </c>
      <c r="DB10" s="29">
        <f>1106-136.4</f>
        <v>969.6</v>
      </c>
      <c r="DC10" s="89"/>
      <c r="DD10" s="26"/>
      <c r="DE10" s="26"/>
      <c r="DF10" s="26"/>
      <c r="DG10" s="33"/>
      <c r="DH10" s="45" t="s">
        <v>519</v>
      </c>
      <c r="DI10" s="6" t="s">
        <v>508</v>
      </c>
      <c r="DJ10" s="7" t="s">
        <v>511</v>
      </c>
      <c r="DK10" s="33">
        <v>969.59999999999991</v>
      </c>
      <c r="DL10" s="71">
        <f t="shared" si="16"/>
        <v>2.6933333333333329</v>
      </c>
      <c r="DM10" s="68">
        <f t="shared" si="8"/>
        <v>72720000</v>
      </c>
      <c r="DN10" s="68">
        <f t="shared" si="9"/>
        <v>218160000</v>
      </c>
      <c r="DO10" s="35">
        <v>0</v>
      </c>
      <c r="DP10" s="33">
        <f t="shared" si="10"/>
        <v>74.665023871862005</v>
      </c>
      <c r="DQ10" s="35">
        <v>12</v>
      </c>
      <c r="DR10" s="69">
        <f t="shared" si="17"/>
        <v>0</v>
      </c>
      <c r="DS10" s="33">
        <v>969.59999999999991</v>
      </c>
      <c r="DT10" s="68">
        <f t="shared" si="18"/>
        <v>29088000</v>
      </c>
      <c r="DU10" s="36">
        <f>4.5+969.6</f>
        <v>974.1</v>
      </c>
      <c r="DV10" s="68">
        <f t="shared" si="19"/>
        <v>9696000</v>
      </c>
      <c r="DW10" s="69">
        <f t="shared" si="11"/>
        <v>329664000</v>
      </c>
      <c r="DX10" s="33">
        <f t="shared" si="12"/>
        <v>0</v>
      </c>
    </row>
    <row r="11" spans="1:128" s="38" customFormat="1" ht="24" customHeight="1">
      <c r="A11" s="26">
        <v>5</v>
      </c>
      <c r="B11" s="27" t="s">
        <v>118</v>
      </c>
      <c r="C11" s="89" t="s">
        <v>119</v>
      </c>
      <c r="D11" s="88" t="s">
        <v>121</v>
      </c>
      <c r="E11" s="87" t="s">
        <v>109</v>
      </c>
      <c r="F11" s="28" t="s">
        <v>104</v>
      </c>
      <c r="G11" s="26">
        <v>612</v>
      </c>
      <c r="H11" s="26">
        <v>49</v>
      </c>
      <c r="I11" s="29">
        <f>1.5+1628.6</f>
        <v>1630.1</v>
      </c>
      <c r="J11" s="88" t="s">
        <v>120</v>
      </c>
      <c r="K11" s="26">
        <v>4</v>
      </c>
      <c r="L11" s="26">
        <v>2</v>
      </c>
      <c r="M11" s="29">
        <f t="shared" si="0"/>
        <v>2104</v>
      </c>
      <c r="N11" s="29"/>
      <c r="O11" s="29"/>
      <c r="P11" s="29">
        <f t="shared" si="20"/>
        <v>0</v>
      </c>
      <c r="Q11" s="29"/>
      <c r="R11" s="29">
        <f t="shared" si="1"/>
        <v>0</v>
      </c>
      <c r="S11" s="29"/>
      <c r="T11" s="29">
        <f t="shared" si="2"/>
        <v>169.4</v>
      </c>
      <c r="U11" s="29">
        <v>21</v>
      </c>
      <c r="V11" s="29">
        <f>33.4+115</f>
        <v>148.4</v>
      </c>
      <c r="W11" s="29">
        <f t="shared" si="3"/>
        <v>1934.6</v>
      </c>
      <c r="X11" s="29">
        <f t="shared" si="13"/>
        <v>2083</v>
      </c>
      <c r="Y11" s="29">
        <f t="shared" si="14"/>
        <v>2083</v>
      </c>
      <c r="Z11" s="29">
        <f t="shared" si="4"/>
        <v>2083</v>
      </c>
      <c r="AA11" s="29"/>
      <c r="AB11" s="29"/>
      <c r="AC11" s="29"/>
      <c r="AD11" s="29"/>
      <c r="AE11" s="29"/>
      <c r="AF11" s="29"/>
      <c r="AG11" s="29"/>
      <c r="AH11" s="29"/>
      <c r="AI11" s="29"/>
      <c r="AJ11" s="29"/>
      <c r="AK11" s="29"/>
      <c r="AL11" s="29"/>
      <c r="AM11" s="29"/>
      <c r="AN11" s="29">
        <v>1662</v>
      </c>
      <c r="AO11" s="29"/>
      <c r="AP11" s="29"/>
      <c r="AQ11" s="29"/>
      <c r="AR11" s="29"/>
      <c r="AS11" s="29"/>
      <c r="AT11" s="29"/>
      <c r="AU11" s="30"/>
      <c r="AV11" s="29"/>
      <c r="AW11" s="29"/>
      <c r="AX11" s="29"/>
      <c r="AY11" s="29"/>
      <c r="AZ11" s="29"/>
      <c r="BA11" s="29"/>
      <c r="BB11" s="29"/>
      <c r="BC11" s="29">
        <f>19+287</f>
        <v>306</v>
      </c>
      <c r="BD11" s="29"/>
      <c r="BE11" s="29"/>
      <c r="BF11" s="29">
        <v>115</v>
      </c>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f t="shared" si="5"/>
        <v>0</v>
      </c>
      <c r="CW11" s="29">
        <f t="shared" si="6"/>
        <v>0</v>
      </c>
      <c r="CX11" s="31">
        <f t="shared" si="7"/>
        <v>1630.1000000000001</v>
      </c>
      <c r="CY11" s="31">
        <v>1.5</v>
      </c>
      <c r="CZ11" s="31">
        <f t="shared" si="15"/>
        <v>0</v>
      </c>
      <c r="DA11" s="88" t="s">
        <v>403</v>
      </c>
      <c r="DB11" s="29">
        <f>1662-33.4</f>
        <v>1628.6</v>
      </c>
      <c r="DC11" s="89"/>
      <c r="DD11" s="26"/>
      <c r="DE11" s="26"/>
      <c r="DF11" s="26"/>
      <c r="DG11" s="33"/>
      <c r="DH11" s="45" t="s">
        <v>121</v>
      </c>
      <c r="DI11" s="6" t="s">
        <v>508</v>
      </c>
      <c r="DJ11" s="7" t="s">
        <v>511</v>
      </c>
      <c r="DK11" s="33">
        <v>1628.6000000000001</v>
      </c>
      <c r="DL11" s="71">
        <f t="shared" si="16"/>
        <v>4.5238888888888891</v>
      </c>
      <c r="DM11" s="68">
        <f t="shared" si="8"/>
        <v>122145000</v>
      </c>
      <c r="DN11" s="68">
        <f t="shared" si="9"/>
        <v>366435000</v>
      </c>
      <c r="DO11" s="35">
        <v>2</v>
      </c>
      <c r="DP11" s="33">
        <f t="shared" si="10"/>
        <v>84.182776801405993</v>
      </c>
      <c r="DQ11" s="35">
        <v>12</v>
      </c>
      <c r="DR11" s="69">
        <f t="shared" si="17"/>
        <v>12240000</v>
      </c>
      <c r="DS11" s="33">
        <v>1628.6000000000001</v>
      </c>
      <c r="DT11" s="68">
        <f t="shared" si="18"/>
        <v>48858000</v>
      </c>
      <c r="DU11" s="36">
        <f>1.5+1628.6</f>
        <v>1630.1</v>
      </c>
      <c r="DV11" s="68">
        <f t="shared" si="19"/>
        <v>16286000</v>
      </c>
      <c r="DW11" s="69">
        <f t="shared" si="11"/>
        <v>565964000</v>
      </c>
      <c r="DX11" s="33">
        <f t="shared" si="12"/>
        <v>0</v>
      </c>
    </row>
    <row r="12" spans="1:128" s="38" customFormat="1" ht="66" customHeight="1">
      <c r="A12" s="26">
        <v>6</v>
      </c>
      <c r="B12" s="27" t="s">
        <v>122</v>
      </c>
      <c r="C12" s="89" t="s">
        <v>123</v>
      </c>
      <c r="D12" s="88" t="s">
        <v>411</v>
      </c>
      <c r="E12" s="87" t="s">
        <v>109</v>
      </c>
      <c r="F12" s="28" t="s">
        <v>104</v>
      </c>
      <c r="G12" s="26">
        <v>613</v>
      </c>
      <c r="H12" s="26">
        <v>49</v>
      </c>
      <c r="I12" s="29">
        <f>1+1607.1</f>
        <v>1608.1</v>
      </c>
      <c r="J12" s="88" t="s">
        <v>124</v>
      </c>
      <c r="K12" s="87">
        <v>5</v>
      </c>
      <c r="L12" s="87">
        <v>4</v>
      </c>
      <c r="M12" s="29">
        <f t="shared" si="0"/>
        <v>2750</v>
      </c>
      <c r="N12" s="29"/>
      <c r="O12" s="29"/>
      <c r="P12" s="29">
        <f t="shared" si="20"/>
        <v>0</v>
      </c>
      <c r="Q12" s="29"/>
      <c r="R12" s="29">
        <f t="shared" si="1"/>
        <v>0</v>
      </c>
      <c r="S12" s="29"/>
      <c r="T12" s="29">
        <f t="shared" si="2"/>
        <v>890.9</v>
      </c>
      <c r="U12" s="29">
        <v>16</v>
      </c>
      <c r="V12" s="29">
        <f>494+228+152.9</f>
        <v>874.9</v>
      </c>
      <c r="W12" s="29">
        <f t="shared" si="3"/>
        <v>1859.1</v>
      </c>
      <c r="X12" s="29">
        <f t="shared" si="13"/>
        <v>2734</v>
      </c>
      <c r="Y12" s="29">
        <f t="shared" si="14"/>
        <v>2734</v>
      </c>
      <c r="Z12" s="29">
        <f t="shared" si="4"/>
        <v>2734</v>
      </c>
      <c r="AA12" s="29"/>
      <c r="AB12" s="29"/>
      <c r="AC12" s="29"/>
      <c r="AD12" s="29"/>
      <c r="AE12" s="29"/>
      <c r="AF12" s="29"/>
      <c r="AG12" s="29"/>
      <c r="AH12" s="29"/>
      <c r="AI12" s="29"/>
      <c r="AJ12" s="29"/>
      <c r="AK12" s="29"/>
      <c r="AL12" s="29"/>
      <c r="AM12" s="29"/>
      <c r="AN12" s="29">
        <v>1760</v>
      </c>
      <c r="AO12" s="29"/>
      <c r="AP12" s="29"/>
      <c r="AQ12" s="29"/>
      <c r="AR12" s="29"/>
      <c r="AS12" s="29"/>
      <c r="AT12" s="29"/>
      <c r="AU12" s="30"/>
      <c r="AV12" s="29"/>
      <c r="AW12" s="29"/>
      <c r="AX12" s="29"/>
      <c r="AY12" s="29"/>
      <c r="AZ12" s="29"/>
      <c r="BA12" s="29">
        <v>494</v>
      </c>
      <c r="BB12" s="29"/>
      <c r="BC12" s="29">
        <v>252</v>
      </c>
      <c r="BD12" s="29"/>
      <c r="BE12" s="29"/>
      <c r="BF12" s="29">
        <v>228</v>
      </c>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f t="shared" si="5"/>
        <v>0</v>
      </c>
      <c r="CW12" s="29">
        <f t="shared" si="6"/>
        <v>0</v>
      </c>
      <c r="CX12" s="31">
        <f t="shared" si="7"/>
        <v>1608.1</v>
      </c>
      <c r="CY12" s="31">
        <v>1</v>
      </c>
      <c r="CZ12" s="31">
        <f t="shared" si="15"/>
        <v>0</v>
      </c>
      <c r="DA12" s="88" t="s">
        <v>403</v>
      </c>
      <c r="DB12" s="29">
        <f>1760-152.9</f>
        <v>1607.1</v>
      </c>
      <c r="DC12" s="89"/>
      <c r="DD12" s="26"/>
      <c r="DE12" s="26"/>
      <c r="DF12" s="26"/>
      <c r="DG12" s="33"/>
      <c r="DH12" s="45" t="s">
        <v>496</v>
      </c>
      <c r="DI12" s="6" t="s">
        <v>508</v>
      </c>
      <c r="DJ12" s="7" t="s">
        <v>511</v>
      </c>
      <c r="DK12" s="33">
        <v>1607.1</v>
      </c>
      <c r="DL12" s="71">
        <f t="shared" si="16"/>
        <v>4.4641666666666664</v>
      </c>
      <c r="DM12" s="68">
        <f t="shared" si="8"/>
        <v>120533000</v>
      </c>
      <c r="DN12" s="68">
        <f t="shared" si="9"/>
        <v>361598000</v>
      </c>
      <c r="DO12" s="35">
        <v>4</v>
      </c>
      <c r="DP12" s="33">
        <f t="shared" si="10"/>
        <v>86.445054058415366</v>
      </c>
      <c r="DQ12" s="35">
        <v>12</v>
      </c>
      <c r="DR12" s="69">
        <f t="shared" si="17"/>
        <v>24480000</v>
      </c>
      <c r="DS12" s="33">
        <v>1607.1</v>
      </c>
      <c r="DT12" s="68">
        <f t="shared" si="18"/>
        <v>48213000</v>
      </c>
      <c r="DU12" s="36">
        <f>1+1607.1</f>
        <v>1608.1</v>
      </c>
      <c r="DV12" s="68">
        <f t="shared" si="19"/>
        <v>16071000</v>
      </c>
      <c r="DW12" s="69">
        <f t="shared" si="11"/>
        <v>570895000</v>
      </c>
      <c r="DX12" s="33">
        <f t="shared" si="12"/>
        <v>0</v>
      </c>
    </row>
    <row r="13" spans="1:128" s="38" customFormat="1" ht="66.75" customHeight="1">
      <c r="A13" s="26">
        <v>7</v>
      </c>
      <c r="B13" s="27" t="s">
        <v>125</v>
      </c>
      <c r="C13" s="89" t="s">
        <v>126</v>
      </c>
      <c r="D13" s="88" t="s">
        <v>412</v>
      </c>
      <c r="E13" s="87" t="s">
        <v>109</v>
      </c>
      <c r="F13" s="28" t="s">
        <v>104</v>
      </c>
      <c r="G13" s="26">
        <v>614</v>
      </c>
      <c r="H13" s="26">
        <v>49</v>
      </c>
      <c r="I13" s="29">
        <v>354.5</v>
      </c>
      <c r="J13" s="88" t="s">
        <v>127</v>
      </c>
      <c r="K13" s="26">
        <v>1</v>
      </c>
      <c r="L13" s="26">
        <v>1</v>
      </c>
      <c r="M13" s="29">
        <f t="shared" si="0"/>
        <v>566</v>
      </c>
      <c r="N13" s="29"/>
      <c r="O13" s="29"/>
      <c r="P13" s="29">
        <f t="shared" si="20"/>
        <v>0</v>
      </c>
      <c r="Q13" s="29"/>
      <c r="R13" s="29">
        <f t="shared" si="1"/>
        <v>0</v>
      </c>
      <c r="S13" s="29"/>
      <c r="T13" s="29">
        <f t="shared" si="2"/>
        <v>13.7</v>
      </c>
      <c r="U13" s="29">
        <v>5</v>
      </c>
      <c r="V13" s="29">
        <v>8.6999999999999993</v>
      </c>
      <c r="W13" s="29">
        <f t="shared" si="3"/>
        <v>552.29999999999995</v>
      </c>
      <c r="X13" s="29">
        <f t="shared" si="13"/>
        <v>561</v>
      </c>
      <c r="Y13" s="29">
        <f t="shared" si="14"/>
        <v>561</v>
      </c>
      <c r="Z13" s="29">
        <f t="shared" si="4"/>
        <v>561</v>
      </c>
      <c r="AA13" s="29"/>
      <c r="AB13" s="29"/>
      <c r="AC13" s="29"/>
      <c r="AD13" s="29"/>
      <c r="AE13" s="29"/>
      <c r="AF13" s="29"/>
      <c r="AG13" s="29"/>
      <c r="AH13" s="29"/>
      <c r="AI13" s="29"/>
      <c r="AJ13" s="29"/>
      <c r="AK13" s="29"/>
      <c r="AL13" s="29"/>
      <c r="AM13" s="29"/>
      <c r="AN13" s="29"/>
      <c r="AO13" s="29"/>
      <c r="AP13" s="29">
        <v>363</v>
      </c>
      <c r="AQ13" s="29"/>
      <c r="AR13" s="29"/>
      <c r="AS13" s="29"/>
      <c r="AT13" s="29"/>
      <c r="AU13" s="30"/>
      <c r="AV13" s="29"/>
      <c r="AW13" s="29"/>
      <c r="AX13" s="29"/>
      <c r="AY13" s="29"/>
      <c r="AZ13" s="29"/>
      <c r="BA13" s="29"/>
      <c r="BB13" s="29"/>
      <c r="BC13" s="29">
        <v>77</v>
      </c>
      <c r="BD13" s="29">
        <v>121</v>
      </c>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f t="shared" si="5"/>
        <v>0</v>
      </c>
      <c r="CW13" s="29">
        <f t="shared" si="6"/>
        <v>0</v>
      </c>
      <c r="CX13" s="31">
        <f t="shared" si="7"/>
        <v>354.5</v>
      </c>
      <c r="CY13" s="31">
        <v>0</v>
      </c>
      <c r="CZ13" s="31">
        <f t="shared" si="15"/>
        <v>0</v>
      </c>
      <c r="DA13" s="88" t="s">
        <v>403</v>
      </c>
      <c r="DB13" s="29">
        <f>363-8.7</f>
        <v>354.3</v>
      </c>
      <c r="DC13" s="89"/>
      <c r="DD13" s="26"/>
      <c r="DE13" s="26"/>
      <c r="DF13" s="26"/>
      <c r="DG13" s="33"/>
      <c r="DH13" s="45" t="s">
        <v>412</v>
      </c>
      <c r="DI13" s="6" t="s">
        <v>508</v>
      </c>
      <c r="DJ13" s="7" t="s">
        <v>511</v>
      </c>
      <c r="DK13" s="33">
        <v>354.5</v>
      </c>
      <c r="DL13" s="71">
        <f t="shared" si="16"/>
        <v>0.98472222222222228</v>
      </c>
      <c r="DM13" s="68">
        <f t="shared" si="8"/>
        <v>26588000</v>
      </c>
      <c r="DN13" s="68">
        <f t="shared" si="9"/>
        <v>79763000</v>
      </c>
      <c r="DO13" s="35">
        <v>0</v>
      </c>
      <c r="DP13" s="33">
        <f t="shared" si="10"/>
        <v>64.186130726054685</v>
      </c>
      <c r="DQ13" s="35">
        <v>6</v>
      </c>
      <c r="DR13" s="69">
        <f t="shared" si="17"/>
        <v>0</v>
      </c>
      <c r="DS13" s="33">
        <v>354.5</v>
      </c>
      <c r="DT13" s="68">
        <f t="shared" si="18"/>
        <v>10635000</v>
      </c>
      <c r="DU13" s="36">
        <v>354.5</v>
      </c>
      <c r="DV13" s="68">
        <f t="shared" si="19"/>
        <v>3545000</v>
      </c>
      <c r="DW13" s="69">
        <f t="shared" si="11"/>
        <v>120531000</v>
      </c>
      <c r="DX13" s="33">
        <f t="shared" si="12"/>
        <v>0</v>
      </c>
    </row>
    <row r="14" spans="1:128" s="38" customFormat="1" ht="36.6" customHeight="1">
      <c r="A14" s="26">
        <v>8</v>
      </c>
      <c r="B14" s="27" t="s">
        <v>128</v>
      </c>
      <c r="C14" s="89" t="s">
        <v>129</v>
      </c>
      <c r="D14" s="89" t="s">
        <v>447</v>
      </c>
      <c r="E14" s="87" t="s">
        <v>109</v>
      </c>
      <c r="F14" s="28" t="s">
        <v>104</v>
      </c>
      <c r="G14" s="26">
        <v>615</v>
      </c>
      <c r="H14" s="26">
        <v>49</v>
      </c>
      <c r="I14" s="29">
        <f>1608.1</f>
        <v>1608.1</v>
      </c>
      <c r="J14" s="88" t="s">
        <v>130</v>
      </c>
      <c r="K14" s="87">
        <v>3</v>
      </c>
      <c r="L14" s="87">
        <v>4</v>
      </c>
      <c r="M14" s="29">
        <f t="shared" si="0"/>
        <v>1778</v>
      </c>
      <c r="N14" s="29"/>
      <c r="O14" s="29"/>
      <c r="P14" s="29">
        <f t="shared" si="20"/>
        <v>0</v>
      </c>
      <c r="Q14" s="29"/>
      <c r="R14" s="29">
        <f t="shared" si="1"/>
        <v>0</v>
      </c>
      <c r="S14" s="29"/>
      <c r="T14" s="29">
        <f t="shared" si="2"/>
        <v>20.8</v>
      </c>
      <c r="U14" s="29">
        <v>20</v>
      </c>
      <c r="V14" s="29">
        <v>0.8</v>
      </c>
      <c r="W14" s="29">
        <f t="shared" si="3"/>
        <v>1757.2</v>
      </c>
      <c r="X14" s="29">
        <f t="shared" si="13"/>
        <v>1758</v>
      </c>
      <c r="Y14" s="29">
        <f t="shared" si="14"/>
        <v>1758</v>
      </c>
      <c r="Z14" s="29">
        <f t="shared" si="4"/>
        <v>1758</v>
      </c>
      <c r="AA14" s="29"/>
      <c r="AB14" s="29"/>
      <c r="AC14" s="29"/>
      <c r="AD14" s="29"/>
      <c r="AE14" s="29"/>
      <c r="AF14" s="29"/>
      <c r="AG14" s="29"/>
      <c r="AH14" s="29"/>
      <c r="AI14" s="29"/>
      <c r="AJ14" s="29"/>
      <c r="AK14" s="29"/>
      <c r="AL14" s="29"/>
      <c r="AM14" s="29"/>
      <c r="AN14" s="29">
        <v>1605</v>
      </c>
      <c r="AO14" s="29"/>
      <c r="AP14" s="29"/>
      <c r="AQ14" s="29"/>
      <c r="AR14" s="29"/>
      <c r="AS14" s="29"/>
      <c r="AT14" s="29"/>
      <c r="AU14" s="30"/>
      <c r="AV14" s="29"/>
      <c r="AW14" s="29"/>
      <c r="AX14" s="29"/>
      <c r="AY14" s="29"/>
      <c r="AZ14" s="29"/>
      <c r="BA14" s="29"/>
      <c r="BB14" s="29"/>
      <c r="BC14" s="29">
        <v>153</v>
      </c>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f t="shared" si="5"/>
        <v>0</v>
      </c>
      <c r="CW14" s="29">
        <f t="shared" si="6"/>
        <v>0</v>
      </c>
      <c r="CX14" s="31">
        <f t="shared" si="7"/>
        <v>1608.1000000000001</v>
      </c>
      <c r="CY14" s="31">
        <v>3.9</v>
      </c>
      <c r="CZ14" s="31">
        <f t="shared" si="15"/>
        <v>0</v>
      </c>
      <c r="DA14" s="88" t="s">
        <v>403</v>
      </c>
      <c r="DB14" s="29">
        <f>1605-0.8</f>
        <v>1604.2</v>
      </c>
      <c r="DC14" s="89"/>
      <c r="DD14" s="26"/>
      <c r="DE14" s="26"/>
      <c r="DF14" s="26"/>
      <c r="DG14" s="33"/>
      <c r="DH14" s="39" t="s">
        <v>447</v>
      </c>
      <c r="DI14" s="6" t="s">
        <v>508</v>
      </c>
      <c r="DJ14" s="7" t="s">
        <v>511</v>
      </c>
      <c r="DK14" s="33">
        <v>1604.2</v>
      </c>
      <c r="DL14" s="71">
        <f t="shared" si="16"/>
        <v>4.4561111111111114</v>
      </c>
      <c r="DM14" s="68">
        <f t="shared" si="8"/>
        <v>120315000</v>
      </c>
      <c r="DN14" s="68">
        <f t="shared" si="9"/>
        <v>360945000</v>
      </c>
      <c r="DO14" s="35">
        <v>5</v>
      </c>
      <c r="DP14" s="33">
        <f t="shared" si="10"/>
        <v>91.292966082403822</v>
      </c>
      <c r="DQ14" s="35">
        <v>12</v>
      </c>
      <c r="DR14" s="69">
        <f t="shared" si="17"/>
        <v>30600000</v>
      </c>
      <c r="DS14" s="33">
        <v>1604.2</v>
      </c>
      <c r="DT14" s="68">
        <f t="shared" si="18"/>
        <v>48126000</v>
      </c>
      <c r="DU14" s="36">
        <f>3.9+1604.2</f>
        <v>1608.1000000000001</v>
      </c>
      <c r="DV14" s="68">
        <f t="shared" si="19"/>
        <v>16042000</v>
      </c>
      <c r="DW14" s="69">
        <f t="shared" si="11"/>
        <v>576028000</v>
      </c>
      <c r="DX14" s="33">
        <f t="shared" si="12"/>
        <v>0</v>
      </c>
    </row>
    <row r="15" spans="1:128" s="38" customFormat="1" ht="42" customHeight="1">
      <c r="A15" s="26">
        <v>9</v>
      </c>
      <c r="B15" s="27" t="s">
        <v>131</v>
      </c>
      <c r="C15" s="89" t="s">
        <v>132</v>
      </c>
      <c r="D15" s="88" t="s">
        <v>413</v>
      </c>
      <c r="E15" s="87" t="s">
        <v>109</v>
      </c>
      <c r="F15" s="28" t="s">
        <v>104</v>
      </c>
      <c r="G15" s="26">
        <v>616</v>
      </c>
      <c r="H15" s="26">
        <v>49</v>
      </c>
      <c r="I15" s="29">
        <f>6.1+480</f>
        <v>486.1</v>
      </c>
      <c r="J15" s="88" t="s">
        <v>133</v>
      </c>
      <c r="K15" s="87">
        <v>1</v>
      </c>
      <c r="L15" s="87">
        <v>1</v>
      </c>
      <c r="M15" s="29">
        <f t="shared" si="0"/>
        <v>566</v>
      </c>
      <c r="N15" s="29"/>
      <c r="O15" s="29"/>
      <c r="P15" s="29">
        <f t="shared" si="20"/>
        <v>0</v>
      </c>
      <c r="Q15" s="29"/>
      <c r="R15" s="29">
        <f t="shared" si="1"/>
        <v>160</v>
      </c>
      <c r="S15" s="29">
        <v>80</v>
      </c>
      <c r="T15" s="29">
        <f t="shared" si="2"/>
        <v>6</v>
      </c>
      <c r="U15" s="29">
        <v>6</v>
      </c>
      <c r="V15" s="29"/>
      <c r="W15" s="29">
        <f t="shared" si="3"/>
        <v>640</v>
      </c>
      <c r="X15" s="29">
        <f t="shared" si="13"/>
        <v>480</v>
      </c>
      <c r="Y15" s="29">
        <f t="shared" si="14"/>
        <v>480</v>
      </c>
      <c r="Z15" s="29">
        <f t="shared" si="4"/>
        <v>640</v>
      </c>
      <c r="AA15" s="29"/>
      <c r="AB15" s="29"/>
      <c r="AC15" s="29"/>
      <c r="AD15" s="29"/>
      <c r="AE15" s="29"/>
      <c r="AF15" s="29"/>
      <c r="AG15" s="29"/>
      <c r="AH15" s="29"/>
      <c r="AI15" s="29"/>
      <c r="AJ15" s="29"/>
      <c r="AK15" s="29"/>
      <c r="AL15" s="29"/>
      <c r="AM15" s="29"/>
      <c r="AN15" s="29">
        <v>480</v>
      </c>
      <c r="AO15" s="29"/>
      <c r="AP15" s="29"/>
      <c r="AQ15" s="29"/>
      <c r="AR15" s="29"/>
      <c r="AS15" s="29"/>
      <c r="AT15" s="29"/>
      <c r="AU15" s="30"/>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f t="shared" si="5"/>
        <v>0</v>
      </c>
      <c r="CW15" s="29">
        <f t="shared" si="6"/>
        <v>160</v>
      </c>
      <c r="CX15" s="31">
        <f t="shared" si="7"/>
        <v>486.09999999999997</v>
      </c>
      <c r="CY15" s="31">
        <v>6.1</v>
      </c>
      <c r="CZ15" s="31">
        <f t="shared" si="15"/>
        <v>0</v>
      </c>
      <c r="DA15" s="88" t="s">
        <v>403</v>
      </c>
      <c r="DB15" s="29">
        <v>480</v>
      </c>
      <c r="DC15" s="89"/>
      <c r="DD15" s="26"/>
      <c r="DE15" s="26"/>
      <c r="DF15" s="26"/>
      <c r="DG15" s="33"/>
      <c r="DH15" s="45" t="s">
        <v>413</v>
      </c>
      <c r="DI15" s="6" t="s">
        <v>508</v>
      </c>
      <c r="DJ15" s="7" t="s">
        <v>511</v>
      </c>
      <c r="DK15" s="33">
        <v>479.99999999999994</v>
      </c>
      <c r="DL15" s="71">
        <f t="shared" si="16"/>
        <v>1.3333333333333333</v>
      </c>
      <c r="DM15" s="68">
        <f t="shared" si="8"/>
        <v>36000000</v>
      </c>
      <c r="DN15" s="68">
        <f t="shared" si="9"/>
        <v>108000000</v>
      </c>
      <c r="DO15" s="35">
        <v>0</v>
      </c>
      <c r="DP15" s="33">
        <f t="shared" si="10"/>
        <v>74.999999999999986</v>
      </c>
      <c r="DQ15" s="35">
        <v>12</v>
      </c>
      <c r="DR15" s="69">
        <f t="shared" si="17"/>
        <v>0</v>
      </c>
      <c r="DS15" s="33">
        <v>479.99999999999994</v>
      </c>
      <c r="DT15" s="68">
        <f t="shared" si="18"/>
        <v>14400000</v>
      </c>
      <c r="DU15" s="36">
        <f>6.1+480</f>
        <v>486.1</v>
      </c>
      <c r="DV15" s="68">
        <f t="shared" si="19"/>
        <v>4800000</v>
      </c>
      <c r="DW15" s="69">
        <f t="shared" si="11"/>
        <v>163200000</v>
      </c>
      <c r="DX15" s="33">
        <f t="shared" si="12"/>
        <v>0</v>
      </c>
    </row>
    <row r="16" spans="1:128" s="51" customFormat="1" ht="36.6" customHeight="1">
      <c r="A16" s="40">
        <v>10</v>
      </c>
      <c r="B16" s="41" t="s">
        <v>407</v>
      </c>
      <c r="C16" s="42" t="s">
        <v>134</v>
      </c>
      <c r="D16" s="42" t="s">
        <v>448</v>
      </c>
      <c r="E16" s="43" t="s">
        <v>109</v>
      </c>
      <c r="F16" s="43" t="s">
        <v>104</v>
      </c>
      <c r="G16" s="40">
        <v>1</v>
      </c>
      <c r="H16" s="40">
        <v>52</v>
      </c>
      <c r="I16" s="44">
        <f>86.5+1127</f>
        <v>1213.5</v>
      </c>
      <c r="J16" s="45" t="s">
        <v>135</v>
      </c>
      <c r="K16" s="43">
        <v>2</v>
      </c>
      <c r="L16" s="43">
        <v>3</v>
      </c>
      <c r="M16" s="44">
        <f t="shared" si="0"/>
        <v>1212</v>
      </c>
      <c r="N16" s="44"/>
      <c r="O16" s="44"/>
      <c r="P16" s="44">
        <f>Q16*4</f>
        <v>0</v>
      </c>
      <c r="Q16" s="44"/>
      <c r="R16" s="44">
        <f>S16*2</f>
        <v>0</v>
      </c>
      <c r="S16" s="44"/>
      <c r="T16" s="44">
        <f t="shared" si="2"/>
        <v>13</v>
      </c>
      <c r="U16" s="44">
        <v>13</v>
      </c>
      <c r="V16" s="44"/>
      <c r="W16" s="44">
        <f t="shared" si="3"/>
        <v>1199</v>
      </c>
      <c r="X16" s="44">
        <f t="shared" si="13"/>
        <v>1199</v>
      </c>
      <c r="Y16" s="44">
        <f t="shared" si="14"/>
        <v>1199</v>
      </c>
      <c r="Z16" s="44">
        <f t="shared" si="4"/>
        <v>1199</v>
      </c>
      <c r="AA16" s="44"/>
      <c r="AB16" s="44"/>
      <c r="AC16" s="44"/>
      <c r="AD16" s="44"/>
      <c r="AE16" s="44"/>
      <c r="AF16" s="44"/>
      <c r="AG16" s="44"/>
      <c r="AH16" s="44"/>
      <c r="AI16" s="44"/>
      <c r="AJ16" s="44"/>
      <c r="AK16" s="44"/>
      <c r="AL16" s="44"/>
      <c r="AM16" s="44"/>
      <c r="AN16" s="44">
        <v>1127</v>
      </c>
      <c r="AO16" s="44"/>
      <c r="AP16" s="44"/>
      <c r="AQ16" s="44"/>
      <c r="AR16" s="44"/>
      <c r="AS16" s="44"/>
      <c r="AT16" s="44"/>
      <c r="AU16" s="46"/>
      <c r="AV16" s="44"/>
      <c r="AW16" s="44"/>
      <c r="AX16" s="44"/>
      <c r="AY16" s="44"/>
      <c r="AZ16" s="44"/>
      <c r="BA16" s="44"/>
      <c r="BB16" s="44"/>
      <c r="BC16" s="44">
        <v>72</v>
      </c>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f t="shared" si="5"/>
        <v>0</v>
      </c>
      <c r="CW16" s="44">
        <f t="shared" si="6"/>
        <v>0</v>
      </c>
      <c r="CX16" s="47">
        <f t="shared" si="7"/>
        <v>1213.5</v>
      </c>
      <c r="CY16" s="47">
        <v>86.5</v>
      </c>
      <c r="CZ16" s="31">
        <f t="shared" si="15"/>
        <v>0</v>
      </c>
      <c r="DA16" s="88" t="s">
        <v>403</v>
      </c>
      <c r="DB16" s="44">
        <v>1127</v>
      </c>
      <c r="DC16" s="42" t="s">
        <v>134</v>
      </c>
      <c r="DD16" s="40" t="s">
        <v>136</v>
      </c>
      <c r="DE16" s="48" t="s">
        <v>137</v>
      </c>
      <c r="DF16" s="40">
        <v>7</v>
      </c>
      <c r="DG16" s="49">
        <v>1213.5</v>
      </c>
      <c r="DH16" s="42" t="s">
        <v>448</v>
      </c>
      <c r="DI16" s="1" t="s">
        <v>509</v>
      </c>
      <c r="DJ16" s="62" t="s">
        <v>511</v>
      </c>
      <c r="DK16" s="49">
        <v>1127</v>
      </c>
      <c r="DL16" s="71">
        <f t="shared" si="16"/>
        <v>3.1305555555555555</v>
      </c>
      <c r="DM16" s="68">
        <f t="shared" si="8"/>
        <v>84525000</v>
      </c>
      <c r="DN16" s="68">
        <f t="shared" si="9"/>
        <v>253575000</v>
      </c>
      <c r="DO16" s="50">
        <v>5</v>
      </c>
      <c r="DP16" s="33">
        <f t="shared" si="10"/>
        <v>93.994995829858226</v>
      </c>
      <c r="DQ16" s="50">
        <v>12</v>
      </c>
      <c r="DR16" s="69">
        <f t="shared" si="17"/>
        <v>30600000</v>
      </c>
      <c r="DS16" s="49">
        <v>1127</v>
      </c>
      <c r="DT16" s="68">
        <f t="shared" si="18"/>
        <v>33810000</v>
      </c>
      <c r="DU16" s="36">
        <f>86.5+1127</f>
        <v>1213.5</v>
      </c>
      <c r="DV16" s="68">
        <f t="shared" si="19"/>
        <v>11270000</v>
      </c>
      <c r="DW16" s="69">
        <f t="shared" si="11"/>
        <v>413780000</v>
      </c>
      <c r="DX16" s="33">
        <f t="shared" si="12"/>
        <v>0</v>
      </c>
    </row>
    <row r="17" spans="1:128" s="51" customFormat="1" ht="20.25" customHeight="1">
      <c r="A17" s="40">
        <v>11</v>
      </c>
      <c r="B17" s="41" t="s">
        <v>138</v>
      </c>
      <c r="C17" s="42" t="s">
        <v>139</v>
      </c>
      <c r="D17" s="39" t="s">
        <v>141</v>
      </c>
      <c r="E17" s="43" t="s">
        <v>109</v>
      </c>
      <c r="F17" s="43" t="s">
        <v>104</v>
      </c>
      <c r="G17" s="40">
        <v>2</v>
      </c>
      <c r="H17" s="40">
        <v>52</v>
      </c>
      <c r="I17" s="44">
        <v>417.5</v>
      </c>
      <c r="J17" s="45" t="s">
        <v>140</v>
      </c>
      <c r="K17" s="40">
        <v>3</v>
      </c>
      <c r="L17" s="40">
        <v>2</v>
      </c>
      <c r="M17" s="44">
        <f t="shared" si="0"/>
        <v>1618</v>
      </c>
      <c r="N17" s="44"/>
      <c r="O17" s="44"/>
      <c r="P17" s="44">
        <f>Q17*4</f>
        <v>300</v>
      </c>
      <c r="Q17" s="44">
        <v>75</v>
      </c>
      <c r="R17" s="44">
        <f>S17*2</f>
        <v>200</v>
      </c>
      <c r="S17" s="44">
        <v>100</v>
      </c>
      <c r="T17" s="44">
        <f t="shared" si="2"/>
        <v>711</v>
      </c>
      <c r="U17" s="44">
        <v>5</v>
      </c>
      <c r="V17" s="44">
        <v>706</v>
      </c>
      <c r="W17" s="44">
        <f t="shared" si="3"/>
        <v>1232</v>
      </c>
      <c r="X17" s="29">
        <f t="shared" si="13"/>
        <v>1438</v>
      </c>
      <c r="Y17" s="29">
        <f t="shared" si="14"/>
        <v>1438</v>
      </c>
      <c r="Z17" s="44">
        <f t="shared" si="4"/>
        <v>1938</v>
      </c>
      <c r="AA17" s="44"/>
      <c r="AB17" s="44"/>
      <c r="AC17" s="44"/>
      <c r="AD17" s="44"/>
      <c r="AE17" s="44"/>
      <c r="AF17" s="44"/>
      <c r="AG17" s="44"/>
      <c r="AH17" s="44"/>
      <c r="AI17" s="44"/>
      <c r="AJ17" s="44"/>
      <c r="AK17" s="44"/>
      <c r="AL17" s="44"/>
      <c r="AM17" s="44"/>
      <c r="AN17" s="44">
        <v>417</v>
      </c>
      <c r="AO17" s="44"/>
      <c r="AP17" s="44"/>
      <c r="AQ17" s="44"/>
      <c r="AR17" s="44"/>
      <c r="AS17" s="44"/>
      <c r="AT17" s="44"/>
      <c r="AU17" s="46"/>
      <c r="AV17" s="44"/>
      <c r="AW17" s="44"/>
      <c r="AX17" s="44"/>
      <c r="AY17" s="44"/>
      <c r="AZ17" s="44"/>
      <c r="BA17" s="44">
        <v>706</v>
      </c>
      <c r="BB17" s="44"/>
      <c r="BC17" s="44">
        <v>135</v>
      </c>
      <c r="BD17" s="44">
        <v>180</v>
      </c>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f t="shared" si="5"/>
        <v>300</v>
      </c>
      <c r="CW17" s="44">
        <f t="shared" si="6"/>
        <v>200</v>
      </c>
      <c r="CX17" s="47">
        <f t="shared" si="7"/>
        <v>417.5</v>
      </c>
      <c r="CY17" s="47">
        <v>0</v>
      </c>
      <c r="CZ17" s="31">
        <f t="shared" si="15"/>
        <v>0</v>
      </c>
      <c r="DA17" s="88" t="s">
        <v>403</v>
      </c>
      <c r="DB17" s="44">
        <v>417</v>
      </c>
      <c r="DC17" s="39"/>
      <c r="DD17" s="40"/>
      <c r="DE17" s="40"/>
      <c r="DF17" s="40"/>
      <c r="DG17" s="49"/>
      <c r="DH17" s="39" t="s">
        <v>141</v>
      </c>
      <c r="DI17" s="1" t="s">
        <v>509</v>
      </c>
      <c r="DJ17" s="62" t="s">
        <v>511</v>
      </c>
      <c r="DK17" s="49">
        <v>417.5</v>
      </c>
      <c r="DL17" s="71">
        <f t="shared" si="16"/>
        <v>1.1597222222222223</v>
      </c>
      <c r="DM17" s="68">
        <f t="shared" si="8"/>
        <v>31313000</v>
      </c>
      <c r="DN17" s="68">
        <f t="shared" si="9"/>
        <v>93938000</v>
      </c>
      <c r="DO17" s="50">
        <v>3</v>
      </c>
      <c r="DP17" s="33">
        <f t="shared" si="10"/>
        <v>33.887987012987011</v>
      </c>
      <c r="DQ17" s="50">
        <v>6</v>
      </c>
      <c r="DR17" s="69">
        <f t="shared" si="17"/>
        <v>9180000</v>
      </c>
      <c r="DS17" s="49">
        <v>417.5</v>
      </c>
      <c r="DT17" s="68">
        <f t="shared" si="18"/>
        <v>12525000</v>
      </c>
      <c r="DU17" s="36">
        <v>417.5</v>
      </c>
      <c r="DV17" s="68">
        <f t="shared" si="19"/>
        <v>4175000</v>
      </c>
      <c r="DW17" s="69">
        <f t="shared" si="11"/>
        <v>151131000</v>
      </c>
      <c r="DX17" s="33">
        <f t="shared" si="12"/>
        <v>0</v>
      </c>
    </row>
    <row r="18" spans="1:128" s="51" customFormat="1" ht="18.75" customHeight="1">
      <c r="A18" s="40">
        <v>12</v>
      </c>
      <c r="B18" s="41" t="s">
        <v>142</v>
      </c>
      <c r="C18" s="42" t="s">
        <v>143</v>
      </c>
      <c r="D18" s="42" t="s">
        <v>143</v>
      </c>
      <c r="E18" s="43" t="s">
        <v>109</v>
      </c>
      <c r="F18" s="43" t="s">
        <v>104</v>
      </c>
      <c r="G18" s="40">
        <v>3</v>
      </c>
      <c r="H18" s="40">
        <v>52</v>
      </c>
      <c r="I18" s="44">
        <f>4.7+848</f>
        <v>852.7</v>
      </c>
      <c r="J18" s="52" t="s">
        <v>143</v>
      </c>
      <c r="K18" s="53">
        <v>2</v>
      </c>
      <c r="L18" s="53">
        <v>2</v>
      </c>
      <c r="M18" s="44">
        <f t="shared" si="0"/>
        <v>1132</v>
      </c>
      <c r="N18" s="44"/>
      <c r="O18" s="44"/>
      <c r="P18" s="44">
        <f>Q18*4</f>
        <v>180</v>
      </c>
      <c r="Q18" s="44">
        <v>45</v>
      </c>
      <c r="R18" s="44">
        <f>S18*2</f>
        <v>50</v>
      </c>
      <c r="S18" s="44">
        <v>25</v>
      </c>
      <c r="T18" s="44">
        <f t="shared" si="2"/>
        <v>214</v>
      </c>
      <c r="U18" s="44">
        <v>12</v>
      </c>
      <c r="V18" s="44">
        <v>202</v>
      </c>
      <c r="W18" s="44">
        <f t="shared" si="3"/>
        <v>1078</v>
      </c>
      <c r="X18" s="44">
        <f t="shared" si="13"/>
        <v>1050</v>
      </c>
      <c r="Y18" s="44">
        <f t="shared" si="14"/>
        <v>1050</v>
      </c>
      <c r="Z18" s="44">
        <f t="shared" si="4"/>
        <v>1280</v>
      </c>
      <c r="AA18" s="44"/>
      <c r="AB18" s="44"/>
      <c r="AC18" s="44"/>
      <c r="AD18" s="44"/>
      <c r="AE18" s="44"/>
      <c r="AF18" s="44"/>
      <c r="AG18" s="44"/>
      <c r="AH18" s="44"/>
      <c r="AI18" s="44"/>
      <c r="AJ18" s="44"/>
      <c r="AK18" s="44"/>
      <c r="AL18" s="44"/>
      <c r="AM18" s="44"/>
      <c r="AN18" s="44">
        <v>848</v>
      </c>
      <c r="AO18" s="44"/>
      <c r="AP18" s="44"/>
      <c r="AQ18" s="44"/>
      <c r="AR18" s="44"/>
      <c r="AS18" s="44"/>
      <c r="AT18" s="44"/>
      <c r="AU18" s="46">
        <v>202</v>
      </c>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f t="shared" si="5"/>
        <v>180</v>
      </c>
      <c r="CW18" s="44">
        <f t="shared" si="6"/>
        <v>50</v>
      </c>
      <c r="CX18" s="47">
        <f t="shared" si="7"/>
        <v>852.70000000000016</v>
      </c>
      <c r="CY18" s="47">
        <v>4.7</v>
      </c>
      <c r="CZ18" s="31">
        <f t="shared" si="15"/>
        <v>0</v>
      </c>
      <c r="DA18" s="88" t="s">
        <v>403</v>
      </c>
      <c r="DB18" s="44">
        <v>848</v>
      </c>
      <c r="DC18" s="39" t="s">
        <v>143</v>
      </c>
      <c r="DD18" s="40" t="s">
        <v>144</v>
      </c>
      <c r="DE18" s="48" t="s">
        <v>137</v>
      </c>
      <c r="DF18" s="40">
        <v>7</v>
      </c>
      <c r="DG18" s="49">
        <f>852.7-4.7</f>
        <v>848</v>
      </c>
      <c r="DH18" s="42" t="s">
        <v>143</v>
      </c>
      <c r="DI18" s="1" t="s">
        <v>509</v>
      </c>
      <c r="DJ18" s="62" t="s">
        <v>511</v>
      </c>
      <c r="DK18" s="49">
        <v>848.00000000000011</v>
      </c>
      <c r="DL18" s="71">
        <f t="shared" si="16"/>
        <v>2.3555555555555561</v>
      </c>
      <c r="DM18" s="68">
        <f t="shared" si="8"/>
        <v>63600000</v>
      </c>
      <c r="DN18" s="68">
        <f t="shared" si="9"/>
        <v>190800000</v>
      </c>
      <c r="DO18" s="50">
        <v>5</v>
      </c>
      <c r="DP18" s="33">
        <f t="shared" si="10"/>
        <v>78.664192949907246</v>
      </c>
      <c r="DQ18" s="50">
        <v>12</v>
      </c>
      <c r="DR18" s="69">
        <f t="shared" si="17"/>
        <v>30600000</v>
      </c>
      <c r="DS18" s="49">
        <v>848.00000000000011</v>
      </c>
      <c r="DT18" s="68">
        <f t="shared" si="18"/>
        <v>25440000</v>
      </c>
      <c r="DU18" s="36">
        <f>4.7+848</f>
        <v>852.7</v>
      </c>
      <c r="DV18" s="68">
        <f t="shared" si="19"/>
        <v>8480000</v>
      </c>
      <c r="DW18" s="69">
        <f t="shared" si="11"/>
        <v>318920000</v>
      </c>
      <c r="DX18" s="33">
        <f t="shared" si="12"/>
        <v>0</v>
      </c>
    </row>
    <row r="19" spans="1:128" s="51" customFormat="1" ht="58.5" customHeight="1">
      <c r="A19" s="40">
        <v>13</v>
      </c>
      <c r="B19" s="41" t="s">
        <v>145</v>
      </c>
      <c r="C19" s="42" t="s">
        <v>146</v>
      </c>
      <c r="D19" s="88" t="s">
        <v>414</v>
      </c>
      <c r="E19" s="43" t="s">
        <v>109</v>
      </c>
      <c r="F19" s="43" t="s">
        <v>104</v>
      </c>
      <c r="G19" s="40">
        <v>4</v>
      </c>
      <c r="H19" s="40">
        <v>52</v>
      </c>
      <c r="I19" s="44">
        <f>2.5+227</f>
        <v>229.5</v>
      </c>
      <c r="J19" s="45" t="s">
        <v>147</v>
      </c>
      <c r="K19" s="43">
        <v>1</v>
      </c>
      <c r="L19" s="43">
        <v>1</v>
      </c>
      <c r="M19" s="44">
        <f t="shared" si="0"/>
        <v>566</v>
      </c>
      <c r="N19" s="44"/>
      <c r="O19" s="44"/>
      <c r="P19" s="44">
        <f>Q19*4</f>
        <v>0</v>
      </c>
      <c r="Q19" s="44"/>
      <c r="R19" s="44">
        <f>S19*2</f>
        <v>27</v>
      </c>
      <c r="S19" s="44">
        <v>13.5</v>
      </c>
      <c r="T19" s="44">
        <f t="shared" si="2"/>
        <v>251</v>
      </c>
      <c r="U19" s="44">
        <v>3</v>
      </c>
      <c r="V19" s="44">
        <v>248</v>
      </c>
      <c r="W19" s="44">
        <f t="shared" si="3"/>
        <v>328.5</v>
      </c>
      <c r="X19" s="44">
        <f t="shared" si="13"/>
        <v>549.5</v>
      </c>
      <c r="Y19" s="44">
        <f t="shared" si="14"/>
        <v>549.5</v>
      </c>
      <c r="Z19" s="44">
        <f t="shared" si="4"/>
        <v>576.5</v>
      </c>
      <c r="AA19" s="44"/>
      <c r="AB19" s="44"/>
      <c r="AC19" s="44"/>
      <c r="AD19" s="44"/>
      <c r="AE19" s="44"/>
      <c r="AF19" s="44"/>
      <c r="AG19" s="44"/>
      <c r="AH19" s="44"/>
      <c r="AI19" s="44"/>
      <c r="AJ19" s="44"/>
      <c r="AK19" s="44"/>
      <c r="AL19" s="44"/>
      <c r="AM19" s="44"/>
      <c r="AN19" s="44">
        <v>227</v>
      </c>
      <c r="AO19" s="44"/>
      <c r="AP19" s="44"/>
      <c r="AQ19" s="44"/>
      <c r="AR19" s="44"/>
      <c r="AS19" s="44"/>
      <c r="AT19" s="44"/>
      <c r="AU19" s="46"/>
      <c r="AV19" s="44"/>
      <c r="AW19" s="44"/>
      <c r="AX19" s="44"/>
      <c r="AY19" s="44"/>
      <c r="AZ19" s="44"/>
      <c r="BA19" s="44"/>
      <c r="BB19" s="44"/>
      <c r="BC19" s="44"/>
      <c r="BD19" s="44">
        <f>48.5+26</f>
        <v>74.5</v>
      </c>
      <c r="BE19" s="44"/>
      <c r="BF19" s="44">
        <v>248</v>
      </c>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f t="shared" si="5"/>
        <v>0</v>
      </c>
      <c r="CW19" s="44">
        <f t="shared" si="6"/>
        <v>27</v>
      </c>
      <c r="CX19" s="47">
        <f t="shared" si="7"/>
        <v>229.5</v>
      </c>
      <c r="CY19" s="47">
        <v>2.5</v>
      </c>
      <c r="CZ19" s="31">
        <f t="shared" si="15"/>
        <v>0</v>
      </c>
      <c r="DA19" s="88" t="s">
        <v>403</v>
      </c>
      <c r="DB19" s="44">
        <v>227</v>
      </c>
      <c r="DC19" s="39"/>
      <c r="DD19" s="40"/>
      <c r="DE19" s="40"/>
      <c r="DF19" s="40"/>
      <c r="DG19" s="49"/>
      <c r="DH19" s="45" t="s">
        <v>497</v>
      </c>
      <c r="DI19" s="1" t="s">
        <v>509</v>
      </c>
      <c r="DJ19" s="62" t="s">
        <v>511</v>
      </c>
      <c r="DK19" s="49">
        <v>227</v>
      </c>
      <c r="DL19" s="71">
        <f t="shared" si="16"/>
        <v>0.63055555555555554</v>
      </c>
      <c r="DM19" s="68">
        <f t="shared" si="8"/>
        <v>17025000</v>
      </c>
      <c r="DN19" s="68">
        <f t="shared" si="9"/>
        <v>51075000</v>
      </c>
      <c r="DO19" s="50">
        <v>0</v>
      </c>
      <c r="DP19" s="33">
        <f t="shared" si="10"/>
        <v>69.101978691019781</v>
      </c>
      <c r="DQ19" s="50">
        <v>6</v>
      </c>
      <c r="DR19" s="69">
        <f t="shared" si="17"/>
        <v>0</v>
      </c>
      <c r="DS19" s="49">
        <v>227</v>
      </c>
      <c r="DT19" s="68">
        <f t="shared" si="18"/>
        <v>6810000</v>
      </c>
      <c r="DU19" s="36">
        <f>2.5+227</f>
        <v>229.5</v>
      </c>
      <c r="DV19" s="68">
        <f t="shared" si="19"/>
        <v>2270000</v>
      </c>
      <c r="DW19" s="69">
        <f t="shared" si="11"/>
        <v>77180000</v>
      </c>
      <c r="DX19" s="33">
        <f t="shared" si="12"/>
        <v>0</v>
      </c>
    </row>
    <row r="20" spans="1:128" s="51" customFormat="1" ht="43.5" customHeight="1">
      <c r="A20" s="40">
        <v>14</v>
      </c>
      <c r="B20" s="41" t="s">
        <v>148</v>
      </c>
      <c r="C20" s="42" t="s">
        <v>149</v>
      </c>
      <c r="D20" s="88" t="s">
        <v>415</v>
      </c>
      <c r="E20" s="43" t="s">
        <v>109</v>
      </c>
      <c r="F20" s="43" t="s">
        <v>104</v>
      </c>
      <c r="G20" s="40">
        <v>5</v>
      </c>
      <c r="H20" s="40">
        <v>52</v>
      </c>
      <c r="I20" s="44">
        <f>8.1+1425.3</f>
        <v>1433.3999999999999</v>
      </c>
      <c r="J20" s="45" t="s">
        <v>150</v>
      </c>
      <c r="K20" s="43">
        <v>4</v>
      </c>
      <c r="L20" s="43">
        <v>4</v>
      </c>
      <c r="M20" s="44">
        <f t="shared" si="0"/>
        <v>2264</v>
      </c>
      <c r="N20" s="44"/>
      <c r="O20" s="44"/>
      <c r="P20" s="44">
        <v>115</v>
      </c>
      <c r="Q20" s="44">
        <v>28.7</v>
      </c>
      <c r="R20" s="44">
        <v>75</v>
      </c>
      <c r="S20" s="44">
        <v>37</v>
      </c>
      <c r="T20" s="44">
        <f t="shared" si="2"/>
        <v>188</v>
      </c>
      <c r="U20" s="44">
        <v>18</v>
      </c>
      <c r="V20" s="44">
        <v>170</v>
      </c>
      <c r="W20" s="44">
        <f t="shared" si="3"/>
        <v>2200.3000000000002</v>
      </c>
      <c r="X20" s="44">
        <f t="shared" si="13"/>
        <v>2180.3000000000002</v>
      </c>
      <c r="Y20" s="44">
        <f t="shared" si="14"/>
        <v>2180.3000000000002</v>
      </c>
      <c r="Z20" s="44">
        <f t="shared" si="4"/>
        <v>2370.3000000000002</v>
      </c>
      <c r="AA20" s="44"/>
      <c r="AB20" s="44"/>
      <c r="AC20" s="44"/>
      <c r="AD20" s="44"/>
      <c r="AE20" s="44"/>
      <c r="AF20" s="44"/>
      <c r="AG20" s="44"/>
      <c r="AH20" s="44"/>
      <c r="AI20" s="44"/>
      <c r="AJ20" s="44"/>
      <c r="AK20" s="44"/>
      <c r="AL20" s="44"/>
      <c r="AM20" s="44"/>
      <c r="AN20" s="44">
        <v>1425.3</v>
      </c>
      <c r="AO20" s="44"/>
      <c r="AP20" s="44"/>
      <c r="AQ20" s="44"/>
      <c r="AR20" s="44"/>
      <c r="AS20" s="44"/>
      <c r="AT20" s="44"/>
      <c r="AU20" s="46"/>
      <c r="AV20" s="44"/>
      <c r="AW20" s="44"/>
      <c r="AX20" s="44"/>
      <c r="AY20" s="44"/>
      <c r="AZ20" s="44"/>
      <c r="BA20" s="44"/>
      <c r="BB20" s="44"/>
      <c r="BC20" s="44">
        <v>585</v>
      </c>
      <c r="BD20" s="44"/>
      <c r="BE20" s="44"/>
      <c r="BF20" s="44"/>
      <c r="BG20" s="44">
        <v>170</v>
      </c>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f t="shared" si="5"/>
        <v>115</v>
      </c>
      <c r="CW20" s="44">
        <f t="shared" si="6"/>
        <v>75</v>
      </c>
      <c r="CX20" s="47">
        <f t="shared" si="7"/>
        <v>1433.3999999999999</v>
      </c>
      <c r="CY20" s="47">
        <v>8.1</v>
      </c>
      <c r="CZ20" s="31">
        <f t="shared" si="15"/>
        <v>0</v>
      </c>
      <c r="DA20" s="88" t="s">
        <v>403</v>
      </c>
      <c r="DB20" s="44">
        <v>1425.3</v>
      </c>
      <c r="DC20" s="39"/>
      <c r="DD20" s="40"/>
      <c r="DE20" s="40"/>
      <c r="DF20" s="40"/>
      <c r="DG20" s="49"/>
      <c r="DH20" s="45" t="s">
        <v>512</v>
      </c>
      <c r="DI20" s="1" t="s">
        <v>509</v>
      </c>
      <c r="DJ20" s="62" t="s">
        <v>511</v>
      </c>
      <c r="DK20" s="49">
        <v>1425.3</v>
      </c>
      <c r="DL20" s="71">
        <f t="shared" si="16"/>
        <v>3.9591666666666665</v>
      </c>
      <c r="DM20" s="68">
        <f t="shared" si="8"/>
        <v>106898000</v>
      </c>
      <c r="DN20" s="68">
        <f t="shared" si="9"/>
        <v>320693000</v>
      </c>
      <c r="DO20" s="50">
        <v>2</v>
      </c>
      <c r="DP20" s="33">
        <f t="shared" si="10"/>
        <v>64.777530336772244</v>
      </c>
      <c r="DQ20" s="50">
        <v>6</v>
      </c>
      <c r="DR20" s="69">
        <f t="shared" si="17"/>
        <v>6120000</v>
      </c>
      <c r="DS20" s="49">
        <v>1425.3</v>
      </c>
      <c r="DT20" s="68">
        <f t="shared" si="18"/>
        <v>42759000</v>
      </c>
      <c r="DU20" s="36">
        <f>8.1+1425.3</f>
        <v>1433.3999999999999</v>
      </c>
      <c r="DV20" s="68">
        <f t="shared" si="19"/>
        <v>14253000</v>
      </c>
      <c r="DW20" s="69">
        <f t="shared" si="11"/>
        <v>490723000</v>
      </c>
      <c r="DX20" s="33">
        <f t="shared" si="12"/>
        <v>0</v>
      </c>
    </row>
    <row r="21" spans="1:128" s="51" customFormat="1" ht="30" customHeight="1">
      <c r="A21" s="40">
        <v>15</v>
      </c>
      <c r="B21" s="41" t="s">
        <v>151</v>
      </c>
      <c r="C21" s="42" t="s">
        <v>152</v>
      </c>
      <c r="D21" s="88" t="s">
        <v>416</v>
      </c>
      <c r="E21" s="43" t="s">
        <v>109</v>
      </c>
      <c r="F21" s="43" t="s">
        <v>104</v>
      </c>
      <c r="G21" s="40">
        <v>6</v>
      </c>
      <c r="H21" s="40">
        <v>52</v>
      </c>
      <c r="I21" s="44">
        <v>534.6</v>
      </c>
      <c r="J21" s="45" t="s">
        <v>154</v>
      </c>
      <c r="K21" s="43">
        <v>2</v>
      </c>
      <c r="L21" s="43">
        <v>2</v>
      </c>
      <c r="M21" s="44">
        <f t="shared" si="0"/>
        <v>1132</v>
      </c>
      <c r="N21" s="44"/>
      <c r="O21" s="44"/>
      <c r="P21" s="44">
        <f>Q21*4</f>
        <v>150</v>
      </c>
      <c r="Q21" s="44">
        <v>37.5</v>
      </c>
      <c r="R21" s="44">
        <f t="shared" ref="R21:R84" si="21">S21*2</f>
        <v>0</v>
      </c>
      <c r="S21" s="44"/>
      <c r="T21" s="44">
        <f t="shared" si="2"/>
        <v>106.5</v>
      </c>
      <c r="U21" s="44">
        <v>2.5</v>
      </c>
      <c r="V21" s="44">
        <v>104</v>
      </c>
      <c r="W21" s="44">
        <f t="shared" si="3"/>
        <v>1138</v>
      </c>
      <c r="X21" s="44">
        <f t="shared" si="13"/>
        <v>1092</v>
      </c>
      <c r="Y21" s="44">
        <f t="shared" si="14"/>
        <v>1092</v>
      </c>
      <c r="Z21" s="44">
        <f t="shared" si="4"/>
        <v>1242</v>
      </c>
      <c r="AA21" s="44"/>
      <c r="AB21" s="44"/>
      <c r="AC21" s="44"/>
      <c r="AD21" s="44"/>
      <c r="AE21" s="44"/>
      <c r="AF21" s="44"/>
      <c r="AG21" s="44"/>
      <c r="AH21" s="44"/>
      <c r="AI21" s="44"/>
      <c r="AJ21" s="44"/>
      <c r="AK21" s="44"/>
      <c r="AL21" s="44"/>
      <c r="AM21" s="44"/>
      <c r="AN21" s="44">
        <v>535</v>
      </c>
      <c r="AO21" s="44"/>
      <c r="AP21" s="44"/>
      <c r="AQ21" s="44"/>
      <c r="AR21" s="44"/>
      <c r="AS21" s="44"/>
      <c r="AT21" s="44"/>
      <c r="AU21" s="46"/>
      <c r="AV21" s="44"/>
      <c r="AW21" s="44"/>
      <c r="AX21" s="44"/>
      <c r="AY21" s="44"/>
      <c r="AZ21" s="44"/>
      <c r="BA21" s="44"/>
      <c r="BB21" s="44"/>
      <c r="BC21" s="44">
        <v>453</v>
      </c>
      <c r="BD21" s="44"/>
      <c r="BE21" s="44"/>
      <c r="BF21" s="44"/>
      <c r="BG21" s="44">
        <v>104</v>
      </c>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f t="shared" si="5"/>
        <v>150</v>
      </c>
      <c r="CW21" s="44">
        <f t="shared" si="6"/>
        <v>0</v>
      </c>
      <c r="CX21" s="47">
        <f t="shared" si="7"/>
        <v>534.6</v>
      </c>
      <c r="CY21" s="47">
        <v>0</v>
      </c>
      <c r="CZ21" s="31">
        <f t="shared" si="15"/>
        <v>0</v>
      </c>
      <c r="DA21" s="88" t="s">
        <v>403</v>
      </c>
      <c r="DB21" s="44">
        <v>535</v>
      </c>
      <c r="DC21" s="39"/>
      <c r="DD21" s="40"/>
      <c r="DE21" s="40"/>
      <c r="DF21" s="40"/>
      <c r="DG21" s="49"/>
      <c r="DH21" s="39" t="s">
        <v>416</v>
      </c>
      <c r="DI21" s="1" t="s">
        <v>509</v>
      </c>
      <c r="DJ21" s="62" t="s">
        <v>511</v>
      </c>
      <c r="DK21" s="49">
        <v>534.6</v>
      </c>
      <c r="DL21" s="71">
        <f t="shared" si="16"/>
        <v>1.4850000000000001</v>
      </c>
      <c r="DM21" s="68">
        <f t="shared" si="8"/>
        <v>40095000</v>
      </c>
      <c r="DN21" s="68">
        <f t="shared" si="9"/>
        <v>120285000</v>
      </c>
      <c r="DO21" s="50">
        <v>0</v>
      </c>
      <c r="DP21" s="33">
        <f t="shared" si="10"/>
        <v>46.977152899824254</v>
      </c>
      <c r="DQ21" s="50">
        <v>6</v>
      </c>
      <c r="DR21" s="69">
        <f t="shared" si="17"/>
        <v>0</v>
      </c>
      <c r="DS21" s="49">
        <v>534.6</v>
      </c>
      <c r="DT21" s="68">
        <f t="shared" si="18"/>
        <v>16038000</v>
      </c>
      <c r="DU21" s="36">
        <v>534.6</v>
      </c>
      <c r="DV21" s="68">
        <f t="shared" si="19"/>
        <v>5346000</v>
      </c>
      <c r="DW21" s="69">
        <f t="shared" si="11"/>
        <v>181764000</v>
      </c>
      <c r="DX21" s="33">
        <f t="shared" si="12"/>
        <v>0</v>
      </c>
    </row>
    <row r="22" spans="1:128" s="51" customFormat="1" ht="36.6" customHeight="1">
      <c r="A22" s="40">
        <v>16</v>
      </c>
      <c r="B22" s="41" t="s">
        <v>155</v>
      </c>
      <c r="C22" s="42" t="s">
        <v>156</v>
      </c>
      <c r="D22" s="42" t="s">
        <v>449</v>
      </c>
      <c r="E22" s="43" t="s">
        <v>109</v>
      </c>
      <c r="F22" s="43" t="s">
        <v>104</v>
      </c>
      <c r="G22" s="40">
        <v>7</v>
      </c>
      <c r="H22" s="40">
        <v>52</v>
      </c>
      <c r="I22" s="44">
        <f>4.5+656</f>
        <v>660.5</v>
      </c>
      <c r="J22" s="45" t="s">
        <v>157</v>
      </c>
      <c r="K22" s="43">
        <v>4</v>
      </c>
      <c r="L22" s="43">
        <v>3</v>
      </c>
      <c r="M22" s="44">
        <f t="shared" si="0"/>
        <v>2184</v>
      </c>
      <c r="N22" s="44"/>
      <c r="O22" s="44"/>
      <c r="P22" s="44">
        <v>150</v>
      </c>
      <c r="Q22" s="44">
        <v>37</v>
      </c>
      <c r="R22" s="44">
        <f t="shared" si="21"/>
        <v>0</v>
      </c>
      <c r="S22" s="44"/>
      <c r="T22" s="44">
        <f t="shared" si="2"/>
        <v>524</v>
      </c>
      <c r="U22" s="44">
        <v>13</v>
      </c>
      <c r="V22" s="44">
        <f>121+390</f>
        <v>511</v>
      </c>
      <c r="W22" s="44">
        <f t="shared" si="3"/>
        <v>1773</v>
      </c>
      <c r="X22" s="44">
        <f t="shared" si="13"/>
        <v>2134</v>
      </c>
      <c r="Y22" s="44">
        <f t="shared" si="14"/>
        <v>2134</v>
      </c>
      <c r="Z22" s="44">
        <f t="shared" si="4"/>
        <v>2284</v>
      </c>
      <c r="AA22" s="44"/>
      <c r="AB22" s="44"/>
      <c r="AC22" s="44"/>
      <c r="AD22" s="44"/>
      <c r="AE22" s="44"/>
      <c r="AF22" s="44"/>
      <c r="AG22" s="44"/>
      <c r="AH22" s="44"/>
      <c r="AI22" s="44"/>
      <c r="AJ22" s="44"/>
      <c r="AK22" s="44"/>
      <c r="AL22" s="44"/>
      <c r="AM22" s="44"/>
      <c r="AN22" s="44">
        <f>390+656</f>
        <v>1046</v>
      </c>
      <c r="AO22" s="44"/>
      <c r="AP22" s="44"/>
      <c r="AQ22" s="44"/>
      <c r="AR22" s="44"/>
      <c r="AS22" s="44"/>
      <c r="AT22" s="44"/>
      <c r="AU22" s="46"/>
      <c r="AV22" s="44"/>
      <c r="AW22" s="44"/>
      <c r="AX22" s="44"/>
      <c r="AY22" s="44"/>
      <c r="AZ22" s="44"/>
      <c r="BA22" s="44"/>
      <c r="BB22" s="44"/>
      <c r="BC22" s="44"/>
      <c r="BD22" s="44">
        <v>705</v>
      </c>
      <c r="BE22" s="44"/>
      <c r="BF22" s="44">
        <v>121</v>
      </c>
      <c r="BG22" s="44"/>
      <c r="BH22" s="44">
        <v>262</v>
      </c>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f t="shared" si="5"/>
        <v>150</v>
      </c>
      <c r="CW22" s="44">
        <f t="shared" si="6"/>
        <v>0</v>
      </c>
      <c r="CX22" s="47">
        <f t="shared" si="7"/>
        <v>660.5</v>
      </c>
      <c r="CY22" s="47">
        <v>4.5</v>
      </c>
      <c r="CZ22" s="31">
        <f t="shared" si="15"/>
        <v>0</v>
      </c>
      <c r="DA22" s="88" t="s">
        <v>403</v>
      </c>
      <c r="DB22" s="44">
        <v>656</v>
      </c>
      <c r="DC22" s="42" t="s">
        <v>156</v>
      </c>
      <c r="DD22" s="40" t="s">
        <v>158</v>
      </c>
      <c r="DE22" s="48" t="s">
        <v>159</v>
      </c>
      <c r="DF22" s="40">
        <v>7</v>
      </c>
      <c r="DG22" s="49">
        <f>660.5-4.5</f>
        <v>656</v>
      </c>
      <c r="DH22" s="42" t="s">
        <v>449</v>
      </c>
      <c r="DI22" s="1" t="s">
        <v>509</v>
      </c>
      <c r="DJ22" s="62" t="s">
        <v>511</v>
      </c>
      <c r="DK22" s="49">
        <v>656</v>
      </c>
      <c r="DL22" s="71">
        <f t="shared" si="16"/>
        <v>1.8222222222222222</v>
      </c>
      <c r="DM22" s="68">
        <f t="shared" si="8"/>
        <v>49200000</v>
      </c>
      <c r="DN22" s="68">
        <f t="shared" si="9"/>
        <v>147600000</v>
      </c>
      <c r="DO22" s="50">
        <v>5</v>
      </c>
      <c r="DP22" s="33">
        <f t="shared" si="10"/>
        <v>36.999435984207558</v>
      </c>
      <c r="DQ22" s="50">
        <v>6</v>
      </c>
      <c r="DR22" s="69">
        <f t="shared" si="17"/>
        <v>15300000</v>
      </c>
      <c r="DS22" s="49">
        <v>656</v>
      </c>
      <c r="DT22" s="68">
        <f t="shared" si="18"/>
        <v>19680000</v>
      </c>
      <c r="DU22" s="36">
        <f>4.5+656</f>
        <v>660.5</v>
      </c>
      <c r="DV22" s="68">
        <f t="shared" si="19"/>
        <v>6560000</v>
      </c>
      <c r="DW22" s="69">
        <f t="shared" si="11"/>
        <v>238340000</v>
      </c>
      <c r="DX22" s="33">
        <f t="shared" si="12"/>
        <v>0</v>
      </c>
    </row>
    <row r="23" spans="1:128" s="38" customFormat="1" ht="50.25" customHeight="1">
      <c r="A23" s="26">
        <v>17</v>
      </c>
      <c r="B23" s="27" t="s">
        <v>160</v>
      </c>
      <c r="C23" s="89" t="s">
        <v>161</v>
      </c>
      <c r="D23" s="88" t="s">
        <v>417</v>
      </c>
      <c r="E23" s="87" t="s">
        <v>109</v>
      </c>
      <c r="F23" s="28" t="s">
        <v>104</v>
      </c>
      <c r="G23" s="26">
        <v>619</v>
      </c>
      <c r="H23" s="26">
        <v>49</v>
      </c>
      <c r="I23" s="29">
        <f>4.7+318.8</f>
        <v>323.5</v>
      </c>
      <c r="J23" s="88" t="s">
        <v>162</v>
      </c>
      <c r="K23" s="87">
        <v>2</v>
      </c>
      <c r="L23" s="87">
        <v>2</v>
      </c>
      <c r="M23" s="29">
        <f t="shared" si="0"/>
        <v>1132</v>
      </c>
      <c r="N23" s="29"/>
      <c r="O23" s="29"/>
      <c r="P23" s="29">
        <f t="shared" ref="P23:P27" si="22">Q23*4</f>
        <v>240</v>
      </c>
      <c r="Q23" s="29">
        <f>10+50</f>
        <v>60</v>
      </c>
      <c r="R23" s="29">
        <f t="shared" si="21"/>
        <v>236</v>
      </c>
      <c r="S23" s="29">
        <f>93+25</f>
        <v>118</v>
      </c>
      <c r="T23" s="29">
        <f t="shared" si="2"/>
        <v>418.5</v>
      </c>
      <c r="U23" s="29"/>
      <c r="V23" s="29">
        <f>113+305.5</f>
        <v>418.5</v>
      </c>
      <c r="W23" s="29">
        <f t="shared" si="3"/>
        <v>1011.5</v>
      </c>
      <c r="X23" s="29">
        <f t="shared" si="13"/>
        <v>954</v>
      </c>
      <c r="Y23" s="29">
        <f t="shared" si="14"/>
        <v>954</v>
      </c>
      <c r="Z23" s="29">
        <f t="shared" si="4"/>
        <v>1430</v>
      </c>
      <c r="AA23" s="29"/>
      <c r="AB23" s="29"/>
      <c r="AC23" s="29"/>
      <c r="AD23" s="29"/>
      <c r="AE23" s="29"/>
      <c r="AF23" s="29"/>
      <c r="AG23" s="29"/>
      <c r="AH23" s="29"/>
      <c r="AI23" s="29"/>
      <c r="AJ23" s="29"/>
      <c r="AK23" s="29"/>
      <c r="AL23" s="29"/>
      <c r="AM23" s="29"/>
      <c r="AN23" s="29">
        <v>629</v>
      </c>
      <c r="AO23" s="29"/>
      <c r="AP23" s="29"/>
      <c r="AQ23" s="29"/>
      <c r="AR23" s="29"/>
      <c r="AS23" s="29"/>
      <c r="AT23" s="29"/>
      <c r="AU23" s="30"/>
      <c r="AV23" s="29"/>
      <c r="AW23" s="29"/>
      <c r="AX23" s="29"/>
      <c r="AY23" s="29"/>
      <c r="AZ23" s="29"/>
      <c r="BA23" s="29"/>
      <c r="BB23" s="29"/>
      <c r="BC23" s="29"/>
      <c r="BD23" s="29">
        <v>212</v>
      </c>
      <c r="BE23" s="29"/>
      <c r="BF23" s="29"/>
      <c r="BG23" s="29">
        <v>113</v>
      </c>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f t="shared" si="5"/>
        <v>240</v>
      </c>
      <c r="CW23" s="29">
        <f t="shared" si="6"/>
        <v>236</v>
      </c>
      <c r="CX23" s="47">
        <f t="shared" si="7"/>
        <v>323.5</v>
      </c>
      <c r="CY23" s="31">
        <v>0</v>
      </c>
      <c r="CZ23" s="31">
        <f t="shared" si="15"/>
        <v>0</v>
      </c>
      <c r="DA23" s="88" t="s">
        <v>403</v>
      </c>
      <c r="DB23" s="29">
        <f>629-305.5</f>
        <v>323.5</v>
      </c>
      <c r="DC23" s="89"/>
      <c r="DD23" s="26"/>
      <c r="DE23" s="26"/>
      <c r="DF23" s="26"/>
      <c r="DG23" s="33"/>
      <c r="DH23" s="36" t="s">
        <v>417</v>
      </c>
      <c r="DI23" s="6" t="s">
        <v>508</v>
      </c>
      <c r="DJ23" s="7" t="s">
        <v>511</v>
      </c>
      <c r="DK23" s="33">
        <f>4.7+318.8</f>
        <v>323.5</v>
      </c>
      <c r="DL23" s="71">
        <f t="shared" si="16"/>
        <v>0.89861111111111114</v>
      </c>
      <c r="DM23" s="68">
        <f t="shared" si="8"/>
        <v>24263000</v>
      </c>
      <c r="DN23" s="68">
        <f t="shared" si="9"/>
        <v>72788000</v>
      </c>
      <c r="DO23" s="35">
        <v>1</v>
      </c>
      <c r="DP23" s="33">
        <f t="shared" si="10"/>
        <v>31.982204646564512</v>
      </c>
      <c r="DQ23" s="35">
        <v>6</v>
      </c>
      <c r="DR23" s="69">
        <f t="shared" si="17"/>
        <v>3060000</v>
      </c>
      <c r="DS23" s="33">
        <v>323.5</v>
      </c>
      <c r="DT23" s="68">
        <f t="shared" si="18"/>
        <v>9705000</v>
      </c>
      <c r="DU23" s="36">
        <f>323.5</f>
        <v>323.5</v>
      </c>
      <c r="DV23" s="68">
        <f t="shared" si="19"/>
        <v>3235000</v>
      </c>
      <c r="DW23" s="69">
        <f t="shared" si="11"/>
        <v>113051000</v>
      </c>
      <c r="DX23" s="33">
        <f t="shared" si="12"/>
        <v>0</v>
      </c>
    </row>
    <row r="24" spans="1:128" s="38" customFormat="1" ht="34.5" customHeight="1">
      <c r="A24" s="26">
        <v>18</v>
      </c>
      <c r="B24" s="27" t="s">
        <v>163</v>
      </c>
      <c r="C24" s="89" t="s">
        <v>164</v>
      </c>
      <c r="D24" s="88" t="s">
        <v>168</v>
      </c>
      <c r="E24" s="87" t="s">
        <v>109</v>
      </c>
      <c r="F24" s="28" t="s">
        <v>104</v>
      </c>
      <c r="G24" s="26">
        <v>620</v>
      </c>
      <c r="H24" s="26">
        <v>49</v>
      </c>
      <c r="I24" s="29">
        <f>2.8+288+477.8+467</f>
        <v>1235.5999999999999</v>
      </c>
      <c r="J24" s="88" t="s">
        <v>165</v>
      </c>
      <c r="K24" s="87">
        <v>4</v>
      </c>
      <c r="L24" s="87">
        <v>5</v>
      </c>
      <c r="M24" s="29">
        <f t="shared" si="0"/>
        <v>2344</v>
      </c>
      <c r="N24" s="29"/>
      <c r="O24" s="29"/>
      <c r="P24" s="29">
        <f t="shared" si="22"/>
        <v>0</v>
      </c>
      <c r="Q24" s="29"/>
      <c r="R24" s="29">
        <f t="shared" si="21"/>
        <v>150</v>
      </c>
      <c r="S24" s="29">
        <f>30+45</f>
        <v>75</v>
      </c>
      <c r="T24" s="29">
        <f t="shared" si="2"/>
        <v>416.2</v>
      </c>
      <c r="U24" s="29">
        <v>20</v>
      </c>
      <c r="V24" s="29">
        <v>396.2</v>
      </c>
      <c r="W24" s="29">
        <f t="shared" si="3"/>
        <v>2002.8</v>
      </c>
      <c r="X24" s="29">
        <f t="shared" si="13"/>
        <v>2249</v>
      </c>
      <c r="Y24" s="29">
        <f t="shared" si="14"/>
        <v>2249</v>
      </c>
      <c r="Z24" s="29">
        <f t="shared" si="4"/>
        <v>2399</v>
      </c>
      <c r="AA24" s="29"/>
      <c r="AB24" s="29"/>
      <c r="AC24" s="29"/>
      <c r="AD24" s="29"/>
      <c r="AE24" s="29"/>
      <c r="AF24" s="29"/>
      <c r="AG24" s="29"/>
      <c r="AH24" s="29"/>
      <c r="AI24" s="29"/>
      <c r="AJ24" s="29"/>
      <c r="AK24" s="29"/>
      <c r="AL24" s="29"/>
      <c r="AM24" s="29"/>
      <c r="AN24" s="29">
        <v>1629</v>
      </c>
      <c r="AO24" s="29"/>
      <c r="AP24" s="29"/>
      <c r="AQ24" s="29"/>
      <c r="AR24" s="29"/>
      <c r="AS24" s="29"/>
      <c r="AT24" s="29"/>
      <c r="AU24" s="30"/>
      <c r="AV24" s="29"/>
      <c r="AW24" s="29"/>
      <c r="AX24" s="29"/>
      <c r="AY24" s="29"/>
      <c r="AZ24" s="29"/>
      <c r="BA24" s="29"/>
      <c r="BB24" s="29"/>
      <c r="BC24" s="29">
        <v>253</v>
      </c>
      <c r="BD24" s="29">
        <f>367</f>
        <v>367</v>
      </c>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f t="shared" si="5"/>
        <v>0</v>
      </c>
      <c r="CW24" s="29">
        <f t="shared" si="6"/>
        <v>150</v>
      </c>
      <c r="CX24" s="47">
        <f t="shared" si="7"/>
        <v>1235.5999999999999</v>
      </c>
      <c r="CY24" s="31">
        <v>2.8</v>
      </c>
      <c r="CZ24" s="31">
        <f t="shared" si="15"/>
        <v>0</v>
      </c>
      <c r="DA24" s="88" t="s">
        <v>403</v>
      </c>
      <c r="DB24" s="29">
        <f>1629-396.2</f>
        <v>1232.8</v>
      </c>
      <c r="DC24" s="89" t="s">
        <v>166</v>
      </c>
      <c r="DD24" s="26" t="s">
        <v>167</v>
      </c>
      <c r="DE24" s="32" t="s">
        <v>137</v>
      </c>
      <c r="DF24" s="26">
        <v>4</v>
      </c>
      <c r="DG24" s="33">
        <f>560.5-86</f>
        <v>474.5</v>
      </c>
      <c r="DH24" s="45" t="s">
        <v>532</v>
      </c>
      <c r="DI24" s="6" t="s">
        <v>508</v>
      </c>
      <c r="DJ24" s="7" t="s">
        <v>511</v>
      </c>
      <c r="DK24" s="33">
        <f>288+477.8+467</f>
        <v>1232.8</v>
      </c>
      <c r="DL24" s="71">
        <f t="shared" si="16"/>
        <v>3.4244444444444442</v>
      </c>
      <c r="DM24" s="68">
        <f t="shared" si="8"/>
        <v>92460000</v>
      </c>
      <c r="DN24" s="68">
        <f t="shared" si="9"/>
        <v>277380000</v>
      </c>
      <c r="DO24" s="35">
        <v>7</v>
      </c>
      <c r="DP24" s="33">
        <f t="shared" si="10"/>
        <v>61.553824645496306</v>
      </c>
      <c r="DQ24" s="35">
        <v>6</v>
      </c>
      <c r="DR24" s="69">
        <f t="shared" si="17"/>
        <v>21420000</v>
      </c>
      <c r="DS24" s="33">
        <v>1232.8</v>
      </c>
      <c r="DT24" s="68">
        <f t="shared" si="18"/>
        <v>36984000</v>
      </c>
      <c r="DU24" s="36">
        <f>2.8+1232.8</f>
        <v>1235.5999999999999</v>
      </c>
      <c r="DV24" s="68">
        <f t="shared" si="19"/>
        <v>12328000</v>
      </c>
      <c r="DW24" s="69">
        <f t="shared" si="11"/>
        <v>440572000</v>
      </c>
      <c r="DX24" s="33">
        <f t="shared" si="12"/>
        <v>0</v>
      </c>
    </row>
    <row r="25" spans="1:128" s="38" customFormat="1" ht="21" customHeight="1">
      <c r="A25" s="26">
        <v>19</v>
      </c>
      <c r="B25" s="27" t="s">
        <v>169</v>
      </c>
      <c r="C25" s="89" t="s">
        <v>170</v>
      </c>
      <c r="D25" s="89" t="s">
        <v>172</v>
      </c>
      <c r="E25" s="87" t="s">
        <v>109</v>
      </c>
      <c r="F25" s="28" t="s">
        <v>104</v>
      </c>
      <c r="G25" s="26">
        <v>621</v>
      </c>
      <c r="H25" s="26">
        <v>49</v>
      </c>
      <c r="I25" s="29">
        <f>8.8+205.9</f>
        <v>214.70000000000002</v>
      </c>
      <c r="J25" s="88" t="s">
        <v>171</v>
      </c>
      <c r="K25" s="87">
        <v>1</v>
      </c>
      <c r="L25" s="87">
        <v>1</v>
      </c>
      <c r="M25" s="29">
        <f t="shared" si="0"/>
        <v>566</v>
      </c>
      <c r="N25" s="29"/>
      <c r="O25" s="29"/>
      <c r="P25" s="29">
        <f t="shared" si="22"/>
        <v>0</v>
      </c>
      <c r="Q25" s="29"/>
      <c r="R25" s="29">
        <f t="shared" si="21"/>
        <v>0</v>
      </c>
      <c r="S25" s="29"/>
      <c r="T25" s="29">
        <f t="shared" si="2"/>
        <v>24.1</v>
      </c>
      <c r="U25" s="29">
        <v>3</v>
      </c>
      <c r="V25" s="29">
        <v>21.1</v>
      </c>
      <c r="W25" s="29">
        <f t="shared" si="3"/>
        <v>541.9</v>
      </c>
      <c r="X25" s="29">
        <f t="shared" si="13"/>
        <v>563</v>
      </c>
      <c r="Y25" s="29">
        <f t="shared" si="14"/>
        <v>563</v>
      </c>
      <c r="Z25" s="29">
        <f t="shared" si="4"/>
        <v>563</v>
      </c>
      <c r="AA25" s="29"/>
      <c r="AB25" s="29"/>
      <c r="AC25" s="29"/>
      <c r="AD25" s="29"/>
      <c r="AE25" s="29"/>
      <c r="AF25" s="29"/>
      <c r="AG25" s="29"/>
      <c r="AH25" s="29"/>
      <c r="AI25" s="29"/>
      <c r="AJ25" s="29"/>
      <c r="AK25" s="29"/>
      <c r="AL25" s="29"/>
      <c r="AM25" s="29"/>
      <c r="AN25" s="29">
        <v>227</v>
      </c>
      <c r="AO25" s="29"/>
      <c r="AP25" s="29"/>
      <c r="AQ25" s="29"/>
      <c r="AR25" s="29"/>
      <c r="AS25" s="29"/>
      <c r="AT25" s="29"/>
      <c r="AU25" s="30"/>
      <c r="AV25" s="29"/>
      <c r="AW25" s="29"/>
      <c r="AX25" s="29"/>
      <c r="AY25" s="29"/>
      <c r="AZ25" s="29"/>
      <c r="BA25" s="29"/>
      <c r="BB25" s="29">
        <v>243</v>
      </c>
      <c r="BC25" s="29">
        <v>93</v>
      </c>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f t="shared" si="5"/>
        <v>0</v>
      </c>
      <c r="CW25" s="29">
        <f t="shared" si="6"/>
        <v>0</v>
      </c>
      <c r="CX25" s="47">
        <f t="shared" si="7"/>
        <v>214.70000000000002</v>
      </c>
      <c r="CY25" s="31">
        <v>8.8000000000000007</v>
      </c>
      <c r="CZ25" s="31">
        <f t="shared" si="15"/>
        <v>0</v>
      </c>
      <c r="DA25" s="88" t="s">
        <v>403</v>
      </c>
      <c r="DB25" s="29">
        <f>227-21.1</f>
        <v>205.9</v>
      </c>
      <c r="DC25" s="89"/>
      <c r="DD25" s="26"/>
      <c r="DE25" s="26"/>
      <c r="DF25" s="26"/>
      <c r="DG25" s="33"/>
      <c r="DH25" s="39" t="s">
        <v>172</v>
      </c>
      <c r="DI25" s="6" t="s">
        <v>508</v>
      </c>
      <c r="DJ25" s="7" t="s">
        <v>511</v>
      </c>
      <c r="DK25" s="33">
        <v>205.9</v>
      </c>
      <c r="DL25" s="71">
        <f t="shared" si="16"/>
        <v>0.57194444444444448</v>
      </c>
      <c r="DM25" s="68">
        <f t="shared" si="8"/>
        <v>15443000</v>
      </c>
      <c r="DN25" s="68">
        <f t="shared" si="9"/>
        <v>46328000</v>
      </c>
      <c r="DO25" s="35">
        <v>1</v>
      </c>
      <c r="DP25" s="33">
        <f t="shared" si="10"/>
        <v>37.995940210370918</v>
      </c>
      <c r="DQ25" s="35">
        <v>6</v>
      </c>
      <c r="DR25" s="69">
        <f t="shared" si="17"/>
        <v>3060000</v>
      </c>
      <c r="DS25" s="33">
        <v>205.9</v>
      </c>
      <c r="DT25" s="68">
        <f t="shared" si="18"/>
        <v>6177000</v>
      </c>
      <c r="DU25" s="36">
        <f>8.8+205.9</f>
        <v>214.70000000000002</v>
      </c>
      <c r="DV25" s="68">
        <f t="shared" si="19"/>
        <v>2059000</v>
      </c>
      <c r="DW25" s="69">
        <f t="shared" si="11"/>
        <v>73067000</v>
      </c>
      <c r="DX25" s="33">
        <f t="shared" si="12"/>
        <v>0</v>
      </c>
    </row>
    <row r="26" spans="1:128" s="38" customFormat="1" ht="33.75" customHeight="1">
      <c r="A26" s="26">
        <v>20</v>
      </c>
      <c r="B26" s="27" t="s">
        <v>173</v>
      </c>
      <c r="C26" s="89" t="s">
        <v>174</v>
      </c>
      <c r="D26" s="88" t="s">
        <v>418</v>
      </c>
      <c r="E26" s="87" t="s">
        <v>109</v>
      </c>
      <c r="F26" s="28" t="s">
        <v>104</v>
      </c>
      <c r="G26" s="26">
        <v>622</v>
      </c>
      <c r="H26" s="26">
        <v>49</v>
      </c>
      <c r="I26" s="29">
        <v>1003.3</v>
      </c>
      <c r="J26" s="88" t="s">
        <v>175</v>
      </c>
      <c r="K26" s="26">
        <v>3</v>
      </c>
      <c r="L26" s="26">
        <v>3</v>
      </c>
      <c r="M26" s="29">
        <f t="shared" si="0"/>
        <v>1698</v>
      </c>
      <c r="N26" s="29"/>
      <c r="O26" s="29"/>
      <c r="P26" s="29">
        <f t="shared" si="22"/>
        <v>0</v>
      </c>
      <c r="Q26" s="29"/>
      <c r="R26" s="29">
        <f t="shared" si="21"/>
        <v>0</v>
      </c>
      <c r="S26" s="29"/>
      <c r="T26" s="29">
        <f t="shared" si="2"/>
        <v>185.1</v>
      </c>
      <c r="U26" s="29">
        <v>13</v>
      </c>
      <c r="V26" s="29">
        <f>24.1+148</f>
        <v>172.1</v>
      </c>
      <c r="W26" s="29">
        <f t="shared" si="3"/>
        <v>1512.9</v>
      </c>
      <c r="X26" s="29">
        <f t="shared" si="13"/>
        <v>1685</v>
      </c>
      <c r="Y26" s="29">
        <f t="shared" si="14"/>
        <v>1685</v>
      </c>
      <c r="Z26" s="29">
        <f t="shared" si="4"/>
        <v>1685</v>
      </c>
      <c r="AA26" s="29"/>
      <c r="AB26" s="29"/>
      <c r="AC26" s="29"/>
      <c r="AD26" s="29"/>
      <c r="AE26" s="29"/>
      <c r="AF26" s="29"/>
      <c r="AG26" s="29"/>
      <c r="AH26" s="29"/>
      <c r="AI26" s="29"/>
      <c r="AJ26" s="29"/>
      <c r="AK26" s="29"/>
      <c r="AL26" s="29"/>
      <c r="AM26" s="29"/>
      <c r="AN26" s="29">
        <v>1027</v>
      </c>
      <c r="AO26" s="29"/>
      <c r="AP26" s="29"/>
      <c r="AQ26" s="29"/>
      <c r="AR26" s="29"/>
      <c r="AS26" s="29"/>
      <c r="AT26" s="29"/>
      <c r="AU26" s="30"/>
      <c r="AV26" s="29"/>
      <c r="AW26" s="29"/>
      <c r="AX26" s="29"/>
      <c r="AY26" s="29"/>
      <c r="AZ26" s="29"/>
      <c r="BA26" s="29"/>
      <c r="BB26" s="29"/>
      <c r="BC26" s="29">
        <v>90</v>
      </c>
      <c r="BD26" s="29">
        <v>420</v>
      </c>
      <c r="BE26" s="29"/>
      <c r="BF26" s="29">
        <v>148</v>
      </c>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f t="shared" si="5"/>
        <v>0</v>
      </c>
      <c r="CW26" s="29">
        <f t="shared" si="6"/>
        <v>0</v>
      </c>
      <c r="CX26" s="47">
        <f t="shared" si="7"/>
        <v>1003.3</v>
      </c>
      <c r="CY26" s="31">
        <v>0</v>
      </c>
      <c r="CZ26" s="31">
        <f t="shared" si="15"/>
        <v>0</v>
      </c>
      <c r="DA26" s="88" t="s">
        <v>403</v>
      </c>
      <c r="DB26" s="29">
        <f>1027-24.1</f>
        <v>1002.9</v>
      </c>
      <c r="DC26" s="89"/>
      <c r="DD26" s="26"/>
      <c r="DE26" s="26"/>
      <c r="DF26" s="26"/>
      <c r="DG26" s="33"/>
      <c r="DH26" s="45" t="s">
        <v>493</v>
      </c>
      <c r="DI26" s="6" t="s">
        <v>508</v>
      </c>
      <c r="DJ26" s="7" t="s">
        <v>511</v>
      </c>
      <c r="DK26" s="33">
        <v>1003.3</v>
      </c>
      <c r="DL26" s="71">
        <f t="shared" si="16"/>
        <v>2.7869444444444444</v>
      </c>
      <c r="DM26" s="68">
        <f t="shared" si="8"/>
        <v>75248000</v>
      </c>
      <c r="DN26" s="68">
        <f t="shared" si="9"/>
        <v>225743000</v>
      </c>
      <c r="DO26" s="35">
        <v>5</v>
      </c>
      <c r="DP26" s="33">
        <f t="shared" si="10"/>
        <v>66.316346090290168</v>
      </c>
      <c r="DQ26" s="35">
        <v>6</v>
      </c>
      <c r="DR26" s="69">
        <f t="shared" si="17"/>
        <v>15300000</v>
      </c>
      <c r="DS26" s="33">
        <v>1003.3</v>
      </c>
      <c r="DT26" s="68">
        <f t="shared" si="18"/>
        <v>30099000</v>
      </c>
      <c r="DU26" s="36">
        <v>1003.3</v>
      </c>
      <c r="DV26" s="68">
        <f t="shared" si="19"/>
        <v>10033000</v>
      </c>
      <c r="DW26" s="69">
        <f t="shared" si="11"/>
        <v>356423000</v>
      </c>
      <c r="DX26" s="33">
        <f t="shared" si="12"/>
        <v>0</v>
      </c>
    </row>
    <row r="27" spans="1:128" s="38" customFormat="1" ht="30" customHeight="1">
      <c r="A27" s="26">
        <v>21</v>
      </c>
      <c r="B27" s="27" t="s">
        <v>176</v>
      </c>
      <c r="C27" s="89" t="s">
        <v>177</v>
      </c>
      <c r="D27" s="89" t="s">
        <v>450</v>
      </c>
      <c r="E27" s="87" t="s">
        <v>109</v>
      </c>
      <c r="F27" s="28" t="s">
        <v>104</v>
      </c>
      <c r="G27" s="26">
        <v>623</v>
      </c>
      <c r="H27" s="26">
        <v>49</v>
      </c>
      <c r="I27" s="29">
        <f>1.5+1198</f>
        <v>1199.5</v>
      </c>
      <c r="J27" s="88" t="s">
        <v>178</v>
      </c>
      <c r="K27" s="87">
        <v>2</v>
      </c>
      <c r="L27" s="87">
        <v>3</v>
      </c>
      <c r="M27" s="29">
        <f t="shared" si="0"/>
        <v>1212</v>
      </c>
      <c r="N27" s="29"/>
      <c r="O27" s="29"/>
      <c r="P27" s="29">
        <f t="shared" si="22"/>
        <v>0</v>
      </c>
      <c r="Q27" s="29"/>
      <c r="R27" s="29">
        <f t="shared" si="21"/>
        <v>0</v>
      </c>
      <c r="S27" s="29"/>
      <c r="T27" s="29">
        <f t="shared" si="2"/>
        <v>14</v>
      </c>
      <c r="U27" s="29">
        <v>14</v>
      </c>
      <c r="V27" s="29"/>
      <c r="W27" s="29">
        <f t="shared" si="3"/>
        <v>1198</v>
      </c>
      <c r="X27" s="29">
        <f t="shared" si="13"/>
        <v>1198</v>
      </c>
      <c r="Y27" s="29">
        <f t="shared" si="14"/>
        <v>1198</v>
      </c>
      <c r="Z27" s="29">
        <f t="shared" si="4"/>
        <v>1198</v>
      </c>
      <c r="AA27" s="29"/>
      <c r="AB27" s="29"/>
      <c r="AC27" s="29"/>
      <c r="AD27" s="29"/>
      <c r="AE27" s="29"/>
      <c r="AF27" s="29"/>
      <c r="AG27" s="29"/>
      <c r="AH27" s="29"/>
      <c r="AI27" s="29"/>
      <c r="AJ27" s="29"/>
      <c r="AK27" s="29"/>
      <c r="AL27" s="29"/>
      <c r="AM27" s="29"/>
      <c r="AN27" s="29">
        <v>1198</v>
      </c>
      <c r="AO27" s="29"/>
      <c r="AP27" s="29"/>
      <c r="AQ27" s="29"/>
      <c r="AR27" s="29"/>
      <c r="AS27" s="29"/>
      <c r="AT27" s="29"/>
      <c r="AU27" s="30"/>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f t="shared" si="5"/>
        <v>0</v>
      </c>
      <c r="CW27" s="29">
        <f t="shared" si="6"/>
        <v>0</v>
      </c>
      <c r="CX27" s="31">
        <f t="shared" si="7"/>
        <v>1199.5</v>
      </c>
      <c r="CY27" s="31">
        <v>1.5</v>
      </c>
      <c r="CZ27" s="31">
        <f t="shared" si="15"/>
        <v>0</v>
      </c>
      <c r="DA27" s="88" t="s">
        <v>403</v>
      </c>
      <c r="DB27" s="29">
        <v>1198</v>
      </c>
      <c r="DC27" s="35"/>
      <c r="DD27" s="35"/>
      <c r="DE27" s="35"/>
      <c r="DF27" s="35"/>
      <c r="DG27" s="33"/>
      <c r="DH27" s="39" t="s">
        <v>450</v>
      </c>
      <c r="DI27" s="6" t="s">
        <v>508</v>
      </c>
      <c r="DJ27" s="7" t="s">
        <v>511</v>
      </c>
      <c r="DK27" s="33">
        <v>1198</v>
      </c>
      <c r="DL27" s="71">
        <f t="shared" si="16"/>
        <v>3.3277777777777779</v>
      </c>
      <c r="DM27" s="68">
        <f t="shared" si="8"/>
        <v>89850000</v>
      </c>
      <c r="DN27" s="68">
        <f t="shared" si="9"/>
        <v>269550000</v>
      </c>
      <c r="DO27" s="35">
        <v>4</v>
      </c>
      <c r="DP27" s="33">
        <f t="shared" si="10"/>
        <v>100</v>
      </c>
      <c r="DQ27" s="35">
        <v>12</v>
      </c>
      <c r="DR27" s="69">
        <f t="shared" si="17"/>
        <v>24480000</v>
      </c>
      <c r="DS27" s="33">
        <v>1198</v>
      </c>
      <c r="DT27" s="68">
        <f t="shared" si="18"/>
        <v>35940000</v>
      </c>
      <c r="DU27" s="36">
        <f>1.5+1198</f>
        <v>1199.5</v>
      </c>
      <c r="DV27" s="68">
        <f t="shared" si="19"/>
        <v>11980000</v>
      </c>
      <c r="DW27" s="69">
        <f t="shared" si="11"/>
        <v>431800000</v>
      </c>
      <c r="DX27" s="33">
        <f t="shared" si="12"/>
        <v>0</v>
      </c>
    </row>
    <row r="28" spans="1:128" s="38" customFormat="1" ht="33.75" customHeight="1">
      <c r="A28" s="26">
        <v>22</v>
      </c>
      <c r="B28" s="27" t="s">
        <v>179</v>
      </c>
      <c r="C28" s="89" t="s">
        <v>180</v>
      </c>
      <c r="D28" s="89" t="s">
        <v>451</v>
      </c>
      <c r="E28" s="87" t="s">
        <v>109</v>
      </c>
      <c r="F28" s="28" t="s">
        <v>104</v>
      </c>
      <c r="G28" s="26">
        <v>624</v>
      </c>
      <c r="H28" s="26">
        <v>49</v>
      </c>
      <c r="I28" s="29">
        <f>1.9+1225</f>
        <v>1226.9000000000001</v>
      </c>
      <c r="J28" s="88" t="s">
        <v>181</v>
      </c>
      <c r="K28" s="87">
        <v>3</v>
      </c>
      <c r="L28" s="87">
        <v>4</v>
      </c>
      <c r="M28" s="29">
        <f t="shared" si="0"/>
        <v>1778</v>
      </c>
      <c r="N28" s="29"/>
      <c r="O28" s="29"/>
      <c r="P28" s="29">
        <v>95</v>
      </c>
      <c r="Q28" s="29">
        <v>23</v>
      </c>
      <c r="R28" s="29">
        <f t="shared" si="21"/>
        <v>0</v>
      </c>
      <c r="S28" s="29"/>
      <c r="T28" s="29">
        <f t="shared" si="2"/>
        <v>286</v>
      </c>
      <c r="U28" s="29">
        <v>15</v>
      </c>
      <c r="V28" s="29">
        <v>271</v>
      </c>
      <c r="W28" s="29">
        <f t="shared" si="3"/>
        <v>1564</v>
      </c>
      <c r="X28" s="29">
        <f t="shared" si="13"/>
        <v>1740</v>
      </c>
      <c r="Y28" s="29">
        <f t="shared" si="14"/>
        <v>1740</v>
      </c>
      <c r="Z28" s="29">
        <f t="shared" si="4"/>
        <v>1835</v>
      </c>
      <c r="AA28" s="29"/>
      <c r="AB28" s="29"/>
      <c r="AC28" s="29"/>
      <c r="AD28" s="29"/>
      <c r="AE28" s="29"/>
      <c r="AF28" s="29"/>
      <c r="AG28" s="29"/>
      <c r="AH28" s="29"/>
      <c r="AI28" s="29"/>
      <c r="AJ28" s="29"/>
      <c r="AK28" s="29"/>
      <c r="AL28" s="29"/>
      <c r="AM28" s="29"/>
      <c r="AN28" s="29">
        <v>1225</v>
      </c>
      <c r="AO28" s="29"/>
      <c r="AP28" s="29"/>
      <c r="AQ28" s="29"/>
      <c r="AR28" s="29"/>
      <c r="AS28" s="29"/>
      <c r="AT28" s="29"/>
      <c r="AU28" s="30"/>
      <c r="AV28" s="29"/>
      <c r="AW28" s="29"/>
      <c r="AX28" s="29"/>
      <c r="AY28" s="29"/>
      <c r="AZ28" s="29"/>
      <c r="BA28" s="29"/>
      <c r="BB28" s="29"/>
      <c r="BC28" s="29">
        <v>126</v>
      </c>
      <c r="BD28" s="29">
        <v>118</v>
      </c>
      <c r="BE28" s="29"/>
      <c r="BF28" s="29"/>
      <c r="BG28" s="29">
        <v>271</v>
      </c>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f t="shared" si="5"/>
        <v>95</v>
      </c>
      <c r="CW28" s="29">
        <f t="shared" si="6"/>
        <v>0</v>
      </c>
      <c r="CX28" s="31">
        <f t="shared" si="7"/>
        <v>1226.9000000000003</v>
      </c>
      <c r="CY28" s="31">
        <v>1.9</v>
      </c>
      <c r="CZ28" s="31">
        <f t="shared" si="15"/>
        <v>0</v>
      </c>
      <c r="DA28" s="88" t="s">
        <v>403</v>
      </c>
      <c r="DB28" s="29">
        <v>1225</v>
      </c>
      <c r="DC28" s="35"/>
      <c r="DD28" s="35"/>
      <c r="DE28" s="35"/>
      <c r="DF28" s="35"/>
      <c r="DG28" s="33"/>
      <c r="DH28" s="39" t="s">
        <v>451</v>
      </c>
      <c r="DI28" s="6" t="s">
        <v>508</v>
      </c>
      <c r="DJ28" s="7" t="s">
        <v>511</v>
      </c>
      <c r="DK28" s="33">
        <v>1225.0000000000002</v>
      </c>
      <c r="DL28" s="71">
        <f t="shared" si="16"/>
        <v>3.4027777777777786</v>
      </c>
      <c r="DM28" s="68">
        <f t="shared" si="8"/>
        <v>91875000</v>
      </c>
      <c r="DN28" s="68">
        <f t="shared" si="9"/>
        <v>275625000</v>
      </c>
      <c r="DO28" s="35">
        <v>4</v>
      </c>
      <c r="DP28" s="33">
        <f t="shared" si="10"/>
        <v>78.324808184143237</v>
      </c>
      <c r="DQ28" s="35">
        <v>12</v>
      </c>
      <c r="DR28" s="69">
        <f t="shared" si="17"/>
        <v>24480000</v>
      </c>
      <c r="DS28" s="33">
        <v>1225.0000000000002</v>
      </c>
      <c r="DT28" s="68">
        <f t="shared" si="18"/>
        <v>36750000</v>
      </c>
      <c r="DU28" s="36">
        <f>1.9+1225</f>
        <v>1226.9000000000001</v>
      </c>
      <c r="DV28" s="68">
        <f t="shared" si="19"/>
        <v>12250000</v>
      </c>
      <c r="DW28" s="69">
        <f t="shared" si="11"/>
        <v>440980000</v>
      </c>
      <c r="DX28" s="33">
        <f t="shared" si="12"/>
        <v>0</v>
      </c>
    </row>
    <row r="29" spans="1:128" s="38" customFormat="1" ht="55.5" customHeight="1">
      <c r="A29" s="26">
        <v>23</v>
      </c>
      <c r="B29" s="27" t="s">
        <v>182</v>
      </c>
      <c r="C29" s="89" t="s">
        <v>183</v>
      </c>
      <c r="D29" s="88" t="s">
        <v>185</v>
      </c>
      <c r="E29" s="87" t="s">
        <v>109</v>
      </c>
      <c r="F29" s="28" t="s">
        <v>104</v>
      </c>
      <c r="G29" s="26">
        <v>625</v>
      </c>
      <c r="H29" s="26">
        <v>49</v>
      </c>
      <c r="I29" s="29">
        <f>0.8+1334</f>
        <v>1334.8</v>
      </c>
      <c r="J29" s="88" t="s">
        <v>184</v>
      </c>
      <c r="K29" s="87">
        <v>3</v>
      </c>
      <c r="L29" s="87">
        <v>3</v>
      </c>
      <c r="M29" s="29">
        <f t="shared" si="0"/>
        <v>1698</v>
      </c>
      <c r="N29" s="29"/>
      <c r="O29" s="29"/>
      <c r="P29" s="29">
        <f t="shared" ref="P29:P50" si="23">Q29*4</f>
        <v>0</v>
      </c>
      <c r="Q29" s="29"/>
      <c r="R29" s="29">
        <f t="shared" si="21"/>
        <v>0</v>
      </c>
      <c r="S29" s="29"/>
      <c r="T29" s="29">
        <f t="shared" si="2"/>
        <v>224</v>
      </c>
      <c r="U29" s="29">
        <v>17</v>
      </c>
      <c r="V29" s="29">
        <v>207</v>
      </c>
      <c r="W29" s="29">
        <f t="shared" si="3"/>
        <v>1474</v>
      </c>
      <c r="X29" s="29">
        <f t="shared" si="13"/>
        <v>1681</v>
      </c>
      <c r="Y29" s="29">
        <f t="shared" si="14"/>
        <v>1681</v>
      </c>
      <c r="Z29" s="29">
        <f t="shared" si="4"/>
        <v>1681</v>
      </c>
      <c r="AA29" s="29"/>
      <c r="AB29" s="29"/>
      <c r="AC29" s="29"/>
      <c r="AD29" s="29"/>
      <c r="AE29" s="29"/>
      <c r="AF29" s="29"/>
      <c r="AG29" s="29"/>
      <c r="AH29" s="29"/>
      <c r="AI29" s="29"/>
      <c r="AJ29" s="29"/>
      <c r="AK29" s="29"/>
      <c r="AL29" s="29"/>
      <c r="AM29" s="29"/>
      <c r="AN29" s="29">
        <v>1334</v>
      </c>
      <c r="AO29" s="29"/>
      <c r="AP29" s="29"/>
      <c r="AQ29" s="29"/>
      <c r="AR29" s="29"/>
      <c r="AS29" s="29"/>
      <c r="AT29" s="29"/>
      <c r="AU29" s="30"/>
      <c r="AV29" s="29"/>
      <c r="AW29" s="29"/>
      <c r="AX29" s="29"/>
      <c r="AY29" s="29"/>
      <c r="AZ29" s="29"/>
      <c r="BA29" s="29"/>
      <c r="BB29" s="29"/>
      <c r="BC29" s="29">
        <v>140</v>
      </c>
      <c r="BD29" s="29"/>
      <c r="BE29" s="29"/>
      <c r="BF29" s="29"/>
      <c r="BG29" s="29">
        <v>207</v>
      </c>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f t="shared" si="5"/>
        <v>0</v>
      </c>
      <c r="CW29" s="29">
        <f t="shared" si="6"/>
        <v>0</v>
      </c>
      <c r="CX29" s="31">
        <f t="shared" si="7"/>
        <v>1334.8</v>
      </c>
      <c r="CY29" s="31">
        <v>0.8</v>
      </c>
      <c r="CZ29" s="31">
        <f t="shared" si="15"/>
        <v>0</v>
      </c>
      <c r="DA29" s="88" t="s">
        <v>403</v>
      </c>
      <c r="DB29" s="29">
        <v>1334</v>
      </c>
      <c r="DC29" s="35"/>
      <c r="DD29" s="35"/>
      <c r="DE29" s="35"/>
      <c r="DF29" s="35"/>
      <c r="DG29" s="33"/>
      <c r="DH29" s="45" t="s">
        <v>185</v>
      </c>
      <c r="DI29" s="6" t="s">
        <v>508</v>
      </c>
      <c r="DJ29" s="7" t="s">
        <v>511</v>
      </c>
      <c r="DK29" s="33">
        <v>1334</v>
      </c>
      <c r="DL29" s="71">
        <f t="shared" si="16"/>
        <v>3.7055555555555557</v>
      </c>
      <c r="DM29" s="68">
        <f t="shared" si="8"/>
        <v>100050000</v>
      </c>
      <c r="DN29" s="68">
        <f t="shared" si="9"/>
        <v>300150000</v>
      </c>
      <c r="DO29" s="35">
        <v>2</v>
      </c>
      <c r="DP29" s="33">
        <f t="shared" si="10"/>
        <v>90.502035278154679</v>
      </c>
      <c r="DQ29" s="35">
        <v>12</v>
      </c>
      <c r="DR29" s="69">
        <f t="shared" si="17"/>
        <v>12240000</v>
      </c>
      <c r="DS29" s="33">
        <v>1334</v>
      </c>
      <c r="DT29" s="68">
        <f t="shared" si="18"/>
        <v>40020000</v>
      </c>
      <c r="DU29" s="36">
        <f>0.8+1334</f>
        <v>1334.8</v>
      </c>
      <c r="DV29" s="68">
        <f t="shared" si="19"/>
        <v>13340000</v>
      </c>
      <c r="DW29" s="69">
        <f t="shared" si="11"/>
        <v>465800000</v>
      </c>
      <c r="DX29" s="33">
        <f t="shared" si="12"/>
        <v>0</v>
      </c>
    </row>
    <row r="30" spans="1:128" s="38" customFormat="1" ht="37.5" customHeight="1">
      <c r="A30" s="26">
        <v>24</v>
      </c>
      <c r="B30" s="27" t="s">
        <v>186</v>
      </c>
      <c r="C30" s="89" t="s">
        <v>187</v>
      </c>
      <c r="D30" s="88" t="s">
        <v>419</v>
      </c>
      <c r="E30" s="87" t="s">
        <v>109</v>
      </c>
      <c r="F30" s="28" t="s">
        <v>104</v>
      </c>
      <c r="G30" s="26">
        <v>626</v>
      </c>
      <c r="H30" s="26">
        <v>49</v>
      </c>
      <c r="I30" s="29">
        <f>1.2+1417</f>
        <v>1418.2</v>
      </c>
      <c r="J30" s="88" t="s">
        <v>188</v>
      </c>
      <c r="K30" s="87">
        <v>4</v>
      </c>
      <c r="L30" s="87">
        <v>4</v>
      </c>
      <c r="M30" s="29">
        <f t="shared" si="0"/>
        <v>2264</v>
      </c>
      <c r="N30" s="29"/>
      <c r="O30" s="29"/>
      <c r="P30" s="29">
        <f t="shared" si="23"/>
        <v>0</v>
      </c>
      <c r="Q30" s="29"/>
      <c r="R30" s="29">
        <f t="shared" si="21"/>
        <v>0</v>
      </c>
      <c r="S30" s="29"/>
      <c r="T30" s="29">
        <f t="shared" si="2"/>
        <v>10</v>
      </c>
      <c r="U30" s="29">
        <v>10</v>
      </c>
      <c r="V30" s="29"/>
      <c r="W30" s="29">
        <f t="shared" si="3"/>
        <v>2254</v>
      </c>
      <c r="X30" s="29">
        <f t="shared" si="13"/>
        <v>2254</v>
      </c>
      <c r="Y30" s="29">
        <f t="shared" si="14"/>
        <v>2254</v>
      </c>
      <c r="Z30" s="29">
        <f t="shared" si="4"/>
        <v>2254</v>
      </c>
      <c r="AA30" s="29"/>
      <c r="AB30" s="29"/>
      <c r="AC30" s="29"/>
      <c r="AD30" s="29"/>
      <c r="AE30" s="29"/>
      <c r="AF30" s="29"/>
      <c r="AG30" s="29"/>
      <c r="AH30" s="29"/>
      <c r="AI30" s="29"/>
      <c r="AJ30" s="29"/>
      <c r="AK30" s="29"/>
      <c r="AL30" s="29"/>
      <c r="AM30" s="29"/>
      <c r="AN30" s="29">
        <v>1417</v>
      </c>
      <c r="AO30" s="29"/>
      <c r="AP30" s="29"/>
      <c r="AQ30" s="29"/>
      <c r="AR30" s="29"/>
      <c r="AS30" s="29"/>
      <c r="AT30" s="29"/>
      <c r="AU30" s="30"/>
      <c r="AV30" s="29"/>
      <c r="AW30" s="29"/>
      <c r="AX30" s="29"/>
      <c r="AY30" s="29"/>
      <c r="AZ30" s="29"/>
      <c r="BA30" s="29"/>
      <c r="BB30" s="29"/>
      <c r="BC30" s="29">
        <v>229</v>
      </c>
      <c r="BD30" s="29">
        <v>608</v>
      </c>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f t="shared" si="5"/>
        <v>0</v>
      </c>
      <c r="CW30" s="29">
        <f t="shared" si="6"/>
        <v>0</v>
      </c>
      <c r="CX30" s="31">
        <f t="shared" si="7"/>
        <v>1418.1999999999998</v>
      </c>
      <c r="CY30" s="31">
        <v>1.2</v>
      </c>
      <c r="CZ30" s="31">
        <f t="shared" si="15"/>
        <v>0</v>
      </c>
      <c r="DA30" s="88" t="s">
        <v>403</v>
      </c>
      <c r="DB30" s="29">
        <v>1417</v>
      </c>
      <c r="DC30" s="35"/>
      <c r="DD30" s="35"/>
      <c r="DE30" s="35"/>
      <c r="DF30" s="35"/>
      <c r="DG30" s="33"/>
      <c r="DH30" s="45" t="s">
        <v>498</v>
      </c>
      <c r="DI30" s="6" t="s">
        <v>508</v>
      </c>
      <c r="DJ30" s="7" t="s">
        <v>511</v>
      </c>
      <c r="DK30" s="33">
        <v>1416.9999999999998</v>
      </c>
      <c r="DL30" s="71">
        <f t="shared" si="16"/>
        <v>3.9361111111111104</v>
      </c>
      <c r="DM30" s="68">
        <f t="shared" si="8"/>
        <v>106275000</v>
      </c>
      <c r="DN30" s="68">
        <f t="shared" si="9"/>
        <v>318825000</v>
      </c>
      <c r="DO30" s="35">
        <v>3</v>
      </c>
      <c r="DP30" s="33">
        <f t="shared" si="10"/>
        <v>62.866015971606025</v>
      </c>
      <c r="DQ30" s="35">
        <v>6</v>
      </c>
      <c r="DR30" s="69">
        <f t="shared" si="17"/>
        <v>9180000</v>
      </c>
      <c r="DS30" s="33">
        <v>1416.9999999999998</v>
      </c>
      <c r="DT30" s="68">
        <f t="shared" si="18"/>
        <v>42510000</v>
      </c>
      <c r="DU30" s="36">
        <f>1.2+1417</f>
        <v>1418.2</v>
      </c>
      <c r="DV30" s="68">
        <f t="shared" si="19"/>
        <v>14170000</v>
      </c>
      <c r="DW30" s="69">
        <f t="shared" si="11"/>
        <v>490960000</v>
      </c>
      <c r="DX30" s="33">
        <f t="shared" si="12"/>
        <v>0</v>
      </c>
    </row>
    <row r="31" spans="1:128" s="38" customFormat="1" ht="36" customHeight="1">
      <c r="A31" s="26">
        <v>25</v>
      </c>
      <c r="B31" s="27" t="s">
        <v>189</v>
      </c>
      <c r="C31" s="89" t="s">
        <v>190</v>
      </c>
      <c r="D31" s="89" t="s">
        <v>452</v>
      </c>
      <c r="E31" s="87" t="s">
        <v>109</v>
      </c>
      <c r="F31" s="28" t="s">
        <v>104</v>
      </c>
      <c r="G31" s="26">
        <v>627</v>
      </c>
      <c r="H31" s="26">
        <v>49</v>
      </c>
      <c r="I31" s="29">
        <f>2.1+1368</f>
        <v>1370.1</v>
      </c>
      <c r="J31" s="88" t="s">
        <v>191</v>
      </c>
      <c r="K31" s="87">
        <v>3</v>
      </c>
      <c r="L31" s="87">
        <v>2</v>
      </c>
      <c r="M31" s="29">
        <f t="shared" si="0"/>
        <v>1618</v>
      </c>
      <c r="N31" s="29"/>
      <c r="O31" s="29"/>
      <c r="P31" s="29">
        <f t="shared" si="23"/>
        <v>0</v>
      </c>
      <c r="Q31" s="29"/>
      <c r="R31" s="29">
        <f t="shared" si="21"/>
        <v>0</v>
      </c>
      <c r="S31" s="29"/>
      <c r="T31" s="29">
        <f t="shared" si="2"/>
        <v>17</v>
      </c>
      <c r="U31" s="29">
        <v>17</v>
      </c>
      <c r="V31" s="29"/>
      <c r="W31" s="29">
        <f t="shared" si="3"/>
        <v>1601</v>
      </c>
      <c r="X31" s="29">
        <f t="shared" si="13"/>
        <v>1601</v>
      </c>
      <c r="Y31" s="29">
        <f t="shared" si="14"/>
        <v>1601</v>
      </c>
      <c r="Z31" s="29">
        <f t="shared" si="4"/>
        <v>1601</v>
      </c>
      <c r="AA31" s="29"/>
      <c r="AB31" s="29"/>
      <c r="AC31" s="29"/>
      <c r="AD31" s="29"/>
      <c r="AE31" s="29"/>
      <c r="AF31" s="29"/>
      <c r="AG31" s="29"/>
      <c r="AH31" s="29"/>
      <c r="AI31" s="29"/>
      <c r="AJ31" s="29"/>
      <c r="AK31" s="29"/>
      <c r="AL31" s="29"/>
      <c r="AM31" s="29"/>
      <c r="AN31" s="29">
        <v>1368</v>
      </c>
      <c r="AO31" s="29"/>
      <c r="AP31" s="29"/>
      <c r="AQ31" s="29"/>
      <c r="AR31" s="29"/>
      <c r="AS31" s="29"/>
      <c r="AT31" s="29"/>
      <c r="AU31" s="30"/>
      <c r="AV31" s="29"/>
      <c r="AW31" s="29"/>
      <c r="AX31" s="29"/>
      <c r="AY31" s="29"/>
      <c r="AZ31" s="29"/>
      <c r="BA31" s="29"/>
      <c r="BB31" s="29"/>
      <c r="BC31" s="29"/>
      <c r="BD31" s="29">
        <v>233</v>
      </c>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f t="shared" si="5"/>
        <v>0</v>
      </c>
      <c r="CW31" s="29">
        <f t="shared" si="6"/>
        <v>0</v>
      </c>
      <c r="CX31" s="31">
        <f t="shared" si="7"/>
        <v>1370.1</v>
      </c>
      <c r="CY31" s="31">
        <v>2.1</v>
      </c>
      <c r="CZ31" s="31">
        <f t="shared" si="15"/>
        <v>0</v>
      </c>
      <c r="DA31" s="88" t="s">
        <v>403</v>
      </c>
      <c r="DB31" s="29">
        <v>1368</v>
      </c>
      <c r="DC31" s="35"/>
      <c r="DD31" s="35"/>
      <c r="DE31" s="35"/>
      <c r="DF31" s="35"/>
      <c r="DG31" s="33"/>
      <c r="DH31" s="39" t="s">
        <v>452</v>
      </c>
      <c r="DI31" s="6" t="s">
        <v>508</v>
      </c>
      <c r="DJ31" s="7" t="s">
        <v>511</v>
      </c>
      <c r="DK31" s="33">
        <v>1368</v>
      </c>
      <c r="DL31" s="71">
        <f t="shared" si="16"/>
        <v>3.8</v>
      </c>
      <c r="DM31" s="68">
        <f t="shared" si="8"/>
        <v>102600000</v>
      </c>
      <c r="DN31" s="68">
        <f t="shared" si="9"/>
        <v>307800000</v>
      </c>
      <c r="DO31" s="35">
        <v>3</v>
      </c>
      <c r="DP31" s="33">
        <f t="shared" si="10"/>
        <v>85.446595877576513</v>
      </c>
      <c r="DQ31" s="35">
        <v>12</v>
      </c>
      <c r="DR31" s="69">
        <f t="shared" si="17"/>
        <v>18360000</v>
      </c>
      <c r="DS31" s="33">
        <v>1368</v>
      </c>
      <c r="DT31" s="68">
        <f t="shared" si="18"/>
        <v>41040000</v>
      </c>
      <c r="DU31" s="36">
        <f>2.1+1368</f>
        <v>1370.1</v>
      </c>
      <c r="DV31" s="68">
        <f t="shared" si="19"/>
        <v>13680000</v>
      </c>
      <c r="DW31" s="69">
        <f t="shared" si="11"/>
        <v>483480000</v>
      </c>
      <c r="DX31" s="33">
        <f t="shared" si="12"/>
        <v>0</v>
      </c>
    </row>
    <row r="32" spans="1:128" s="38" customFormat="1" ht="51" customHeight="1">
      <c r="A32" s="26">
        <v>26</v>
      </c>
      <c r="B32" s="27" t="s">
        <v>192</v>
      </c>
      <c r="C32" s="89" t="s">
        <v>193</v>
      </c>
      <c r="D32" s="88" t="s">
        <v>480</v>
      </c>
      <c r="E32" s="87" t="s">
        <v>194</v>
      </c>
      <c r="F32" s="28" t="s">
        <v>104</v>
      </c>
      <c r="G32" s="26">
        <v>628</v>
      </c>
      <c r="H32" s="26">
        <v>49</v>
      </c>
      <c r="I32" s="29">
        <f>4.2+275</f>
        <v>279.2</v>
      </c>
      <c r="J32" s="88" t="s">
        <v>195</v>
      </c>
      <c r="K32" s="87">
        <v>1</v>
      </c>
      <c r="L32" s="87">
        <v>3</v>
      </c>
      <c r="M32" s="29">
        <f t="shared" si="0"/>
        <v>726</v>
      </c>
      <c r="N32" s="29"/>
      <c r="O32" s="29"/>
      <c r="P32" s="29">
        <f t="shared" si="23"/>
        <v>0</v>
      </c>
      <c r="Q32" s="29"/>
      <c r="R32" s="29">
        <f t="shared" si="21"/>
        <v>50</v>
      </c>
      <c r="S32" s="29">
        <v>25</v>
      </c>
      <c r="T32" s="29">
        <f t="shared" si="2"/>
        <v>3</v>
      </c>
      <c r="U32" s="29">
        <v>3</v>
      </c>
      <c r="V32" s="29"/>
      <c r="W32" s="29">
        <f t="shared" si="3"/>
        <v>748</v>
      </c>
      <c r="X32" s="29">
        <f t="shared" si="13"/>
        <v>698</v>
      </c>
      <c r="Y32" s="29">
        <f t="shared" si="14"/>
        <v>698</v>
      </c>
      <c r="Z32" s="29">
        <f t="shared" si="4"/>
        <v>748</v>
      </c>
      <c r="AA32" s="29"/>
      <c r="AB32" s="29"/>
      <c r="AC32" s="29"/>
      <c r="AD32" s="29"/>
      <c r="AE32" s="29"/>
      <c r="AF32" s="29"/>
      <c r="AG32" s="29"/>
      <c r="AH32" s="29"/>
      <c r="AI32" s="29"/>
      <c r="AJ32" s="29"/>
      <c r="AK32" s="29"/>
      <c r="AL32" s="29"/>
      <c r="AM32" s="29"/>
      <c r="AN32" s="29">
        <v>275</v>
      </c>
      <c r="AO32" s="29"/>
      <c r="AP32" s="29"/>
      <c r="AQ32" s="29"/>
      <c r="AR32" s="29"/>
      <c r="AS32" s="29"/>
      <c r="AT32" s="29"/>
      <c r="AU32" s="30"/>
      <c r="AV32" s="29"/>
      <c r="AW32" s="29"/>
      <c r="AX32" s="29"/>
      <c r="AY32" s="29"/>
      <c r="AZ32" s="29"/>
      <c r="BA32" s="29"/>
      <c r="BB32" s="29"/>
      <c r="BC32" s="29"/>
      <c r="BD32" s="29">
        <f>8+415</f>
        <v>423</v>
      </c>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f t="shared" si="5"/>
        <v>0</v>
      </c>
      <c r="CW32" s="29">
        <f t="shared" si="6"/>
        <v>50</v>
      </c>
      <c r="CX32" s="31">
        <f t="shared" si="7"/>
        <v>279.2</v>
      </c>
      <c r="CY32" s="31">
        <v>4.2</v>
      </c>
      <c r="CZ32" s="31">
        <f t="shared" si="15"/>
        <v>0</v>
      </c>
      <c r="DA32" s="88" t="s">
        <v>403</v>
      </c>
      <c r="DB32" s="29">
        <v>275</v>
      </c>
      <c r="DC32" s="35"/>
      <c r="DD32" s="35"/>
      <c r="DE32" s="35"/>
      <c r="DF32" s="35"/>
      <c r="DG32" s="33"/>
      <c r="DH32" s="45" t="s">
        <v>480</v>
      </c>
      <c r="DI32" s="6" t="s">
        <v>508</v>
      </c>
      <c r="DJ32" s="7" t="s">
        <v>511</v>
      </c>
      <c r="DK32" s="33">
        <v>275</v>
      </c>
      <c r="DL32" s="71">
        <f t="shared" si="16"/>
        <v>0.76388888888888884</v>
      </c>
      <c r="DM32" s="68">
        <f t="shared" si="8"/>
        <v>20625000</v>
      </c>
      <c r="DN32" s="68">
        <f t="shared" si="9"/>
        <v>61875000</v>
      </c>
      <c r="DO32" s="35">
        <v>2</v>
      </c>
      <c r="DP32" s="33">
        <f t="shared" si="10"/>
        <v>36.764705882352942</v>
      </c>
      <c r="DQ32" s="35">
        <v>6</v>
      </c>
      <c r="DR32" s="69">
        <f t="shared" si="17"/>
        <v>6120000</v>
      </c>
      <c r="DS32" s="33">
        <v>275</v>
      </c>
      <c r="DT32" s="68">
        <f t="shared" si="18"/>
        <v>8250000</v>
      </c>
      <c r="DU32" s="36">
        <f>4.2+275</f>
        <v>279.2</v>
      </c>
      <c r="DV32" s="68">
        <f t="shared" si="19"/>
        <v>2750000</v>
      </c>
      <c r="DW32" s="69">
        <f t="shared" si="11"/>
        <v>99620000</v>
      </c>
      <c r="DX32" s="33">
        <f t="shared" si="12"/>
        <v>0</v>
      </c>
    </row>
    <row r="33" spans="1:128" s="38" customFormat="1" ht="31.5" customHeight="1">
      <c r="A33" s="26">
        <v>27</v>
      </c>
      <c r="B33" s="27" t="s">
        <v>196</v>
      </c>
      <c r="C33" s="89" t="s">
        <v>197</v>
      </c>
      <c r="D33" s="88" t="s">
        <v>420</v>
      </c>
      <c r="E33" s="87" t="s">
        <v>109</v>
      </c>
      <c r="F33" s="28" t="s">
        <v>104</v>
      </c>
      <c r="G33" s="26">
        <v>629</v>
      </c>
      <c r="H33" s="26">
        <v>49</v>
      </c>
      <c r="I33" s="29">
        <f>1.3+390</f>
        <v>391.3</v>
      </c>
      <c r="J33" s="88" t="s">
        <v>198</v>
      </c>
      <c r="K33" s="87">
        <v>2</v>
      </c>
      <c r="L33" s="87">
        <v>2</v>
      </c>
      <c r="M33" s="29">
        <f t="shared" si="0"/>
        <v>1132</v>
      </c>
      <c r="N33" s="29"/>
      <c r="O33" s="29"/>
      <c r="P33" s="29">
        <f t="shared" si="23"/>
        <v>0</v>
      </c>
      <c r="Q33" s="29"/>
      <c r="R33" s="29">
        <f t="shared" si="21"/>
        <v>0</v>
      </c>
      <c r="S33" s="29"/>
      <c r="T33" s="29">
        <f t="shared" si="2"/>
        <v>204</v>
      </c>
      <c r="U33" s="29">
        <v>5</v>
      </c>
      <c r="V33" s="29">
        <v>199</v>
      </c>
      <c r="W33" s="29">
        <f t="shared" si="3"/>
        <v>928</v>
      </c>
      <c r="X33" s="29">
        <f t="shared" si="13"/>
        <v>1127</v>
      </c>
      <c r="Y33" s="29">
        <f t="shared" si="14"/>
        <v>1127</v>
      </c>
      <c r="Z33" s="29">
        <f t="shared" si="4"/>
        <v>1127</v>
      </c>
      <c r="AA33" s="29"/>
      <c r="AB33" s="29"/>
      <c r="AC33" s="29"/>
      <c r="AD33" s="29"/>
      <c r="AE33" s="29"/>
      <c r="AF33" s="29"/>
      <c r="AG33" s="29"/>
      <c r="AH33" s="29"/>
      <c r="AI33" s="29"/>
      <c r="AJ33" s="29"/>
      <c r="AK33" s="29"/>
      <c r="AL33" s="29"/>
      <c r="AM33" s="29"/>
      <c r="AN33" s="29">
        <v>390</v>
      </c>
      <c r="AO33" s="29"/>
      <c r="AP33" s="29"/>
      <c r="AQ33" s="29"/>
      <c r="AR33" s="29"/>
      <c r="AS33" s="29"/>
      <c r="AT33" s="29"/>
      <c r="AU33" s="30"/>
      <c r="AV33" s="29"/>
      <c r="AW33" s="29"/>
      <c r="AX33" s="29"/>
      <c r="AY33" s="29"/>
      <c r="AZ33" s="29"/>
      <c r="BA33" s="29"/>
      <c r="BB33" s="29">
        <v>407</v>
      </c>
      <c r="BC33" s="29">
        <v>131</v>
      </c>
      <c r="BD33" s="29"/>
      <c r="BE33" s="29"/>
      <c r="BF33" s="29">
        <v>199</v>
      </c>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f t="shared" si="5"/>
        <v>0</v>
      </c>
      <c r="CW33" s="29">
        <f t="shared" si="6"/>
        <v>0</v>
      </c>
      <c r="CX33" s="31">
        <f t="shared" si="7"/>
        <v>391.3</v>
      </c>
      <c r="CY33" s="31">
        <v>1.3</v>
      </c>
      <c r="CZ33" s="31">
        <f t="shared" si="15"/>
        <v>0</v>
      </c>
      <c r="DA33" s="88" t="s">
        <v>403</v>
      </c>
      <c r="DB33" s="29">
        <v>390</v>
      </c>
      <c r="DC33" s="35"/>
      <c r="DD33" s="35"/>
      <c r="DE33" s="35"/>
      <c r="DF33" s="35"/>
      <c r="DG33" s="33"/>
      <c r="DH33" s="45" t="s">
        <v>499</v>
      </c>
      <c r="DI33" s="6" t="s">
        <v>508</v>
      </c>
      <c r="DJ33" s="7" t="s">
        <v>511</v>
      </c>
      <c r="DK33" s="33">
        <v>390</v>
      </c>
      <c r="DL33" s="71">
        <f t="shared" si="16"/>
        <v>1.0833333333333333</v>
      </c>
      <c r="DM33" s="68">
        <f t="shared" si="8"/>
        <v>29250000</v>
      </c>
      <c r="DN33" s="68">
        <f t="shared" si="9"/>
        <v>87750000</v>
      </c>
      <c r="DO33" s="35">
        <v>0</v>
      </c>
      <c r="DP33" s="33">
        <f t="shared" si="10"/>
        <v>42.025862068965516</v>
      </c>
      <c r="DQ33" s="35">
        <v>6</v>
      </c>
      <c r="DR33" s="69">
        <f t="shared" si="17"/>
        <v>0</v>
      </c>
      <c r="DS33" s="33">
        <v>390</v>
      </c>
      <c r="DT33" s="68">
        <f t="shared" si="18"/>
        <v>11700000</v>
      </c>
      <c r="DU33" s="36">
        <f>1.3+390</f>
        <v>391.3</v>
      </c>
      <c r="DV33" s="68">
        <f t="shared" si="19"/>
        <v>3900000</v>
      </c>
      <c r="DW33" s="69">
        <f t="shared" si="11"/>
        <v>132600000</v>
      </c>
      <c r="DX33" s="33">
        <f t="shared" si="12"/>
        <v>0</v>
      </c>
    </row>
    <row r="34" spans="1:128" s="38" customFormat="1" ht="36.6" customHeight="1">
      <c r="A34" s="26">
        <v>28</v>
      </c>
      <c r="B34" s="27" t="s">
        <v>199</v>
      </c>
      <c r="C34" s="89" t="s">
        <v>200</v>
      </c>
      <c r="D34" s="55" t="s">
        <v>453</v>
      </c>
      <c r="E34" s="87" t="s">
        <v>201</v>
      </c>
      <c r="F34" s="28" t="s">
        <v>104</v>
      </c>
      <c r="G34" s="26">
        <v>630</v>
      </c>
      <c r="H34" s="26">
        <v>49</v>
      </c>
      <c r="I34" s="29">
        <f>5+784</f>
        <v>789</v>
      </c>
      <c r="J34" s="88" t="s">
        <v>202</v>
      </c>
      <c r="K34" s="87">
        <v>2</v>
      </c>
      <c r="L34" s="87">
        <v>0</v>
      </c>
      <c r="M34" s="29">
        <f t="shared" si="0"/>
        <v>972</v>
      </c>
      <c r="N34" s="29"/>
      <c r="O34" s="29"/>
      <c r="P34" s="29">
        <f t="shared" si="23"/>
        <v>0</v>
      </c>
      <c r="Q34" s="29"/>
      <c r="R34" s="29">
        <f t="shared" si="21"/>
        <v>0</v>
      </c>
      <c r="S34" s="29"/>
      <c r="T34" s="29">
        <f t="shared" si="2"/>
        <v>10</v>
      </c>
      <c r="U34" s="29">
        <v>10</v>
      </c>
      <c r="V34" s="29"/>
      <c r="W34" s="29">
        <f t="shared" si="3"/>
        <v>962</v>
      </c>
      <c r="X34" s="29">
        <f t="shared" si="13"/>
        <v>962</v>
      </c>
      <c r="Y34" s="29">
        <f t="shared" si="14"/>
        <v>962</v>
      </c>
      <c r="Z34" s="29">
        <f t="shared" si="4"/>
        <v>962</v>
      </c>
      <c r="AA34" s="29"/>
      <c r="AB34" s="29"/>
      <c r="AC34" s="29"/>
      <c r="AD34" s="29"/>
      <c r="AE34" s="29"/>
      <c r="AF34" s="29"/>
      <c r="AG34" s="29"/>
      <c r="AH34" s="29"/>
      <c r="AI34" s="29"/>
      <c r="AJ34" s="29"/>
      <c r="AK34" s="29"/>
      <c r="AL34" s="29"/>
      <c r="AM34" s="29"/>
      <c r="AN34" s="29">
        <v>784</v>
      </c>
      <c r="AO34" s="29"/>
      <c r="AP34" s="29"/>
      <c r="AQ34" s="29"/>
      <c r="AR34" s="29"/>
      <c r="AS34" s="29"/>
      <c r="AT34" s="29"/>
      <c r="AU34" s="30"/>
      <c r="AV34" s="29"/>
      <c r="AW34" s="29"/>
      <c r="AX34" s="29"/>
      <c r="AY34" s="29"/>
      <c r="AZ34" s="29"/>
      <c r="BA34" s="29"/>
      <c r="BB34" s="29"/>
      <c r="BC34" s="29">
        <v>178</v>
      </c>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f t="shared" si="5"/>
        <v>0</v>
      </c>
      <c r="CW34" s="29">
        <f t="shared" si="6"/>
        <v>0</v>
      </c>
      <c r="CX34" s="31">
        <f t="shared" si="7"/>
        <v>789</v>
      </c>
      <c r="CY34" s="31">
        <v>5</v>
      </c>
      <c r="CZ34" s="31">
        <f t="shared" si="15"/>
        <v>0</v>
      </c>
      <c r="DA34" s="88" t="s">
        <v>403</v>
      </c>
      <c r="DB34" s="29">
        <v>784</v>
      </c>
      <c r="DC34" s="35"/>
      <c r="DD34" s="35"/>
      <c r="DE34" s="35"/>
      <c r="DF34" s="35"/>
      <c r="DG34" s="33"/>
      <c r="DH34" s="54" t="s">
        <v>453</v>
      </c>
      <c r="DI34" s="6" t="s">
        <v>508</v>
      </c>
      <c r="DJ34" s="7" t="s">
        <v>511</v>
      </c>
      <c r="DK34" s="33">
        <v>784</v>
      </c>
      <c r="DL34" s="71">
        <f t="shared" si="16"/>
        <v>2.1777777777777776</v>
      </c>
      <c r="DM34" s="68">
        <f t="shared" si="8"/>
        <v>58800000</v>
      </c>
      <c r="DN34" s="68">
        <f t="shared" si="9"/>
        <v>176400000</v>
      </c>
      <c r="DO34" s="35">
        <v>3</v>
      </c>
      <c r="DP34" s="33">
        <f t="shared" si="10"/>
        <v>81.4968814968815</v>
      </c>
      <c r="DQ34" s="35">
        <v>12</v>
      </c>
      <c r="DR34" s="69">
        <f t="shared" si="17"/>
        <v>18360000</v>
      </c>
      <c r="DS34" s="33">
        <v>784</v>
      </c>
      <c r="DT34" s="68">
        <f t="shared" si="18"/>
        <v>23520000</v>
      </c>
      <c r="DU34" s="36">
        <f>5+784</f>
        <v>789</v>
      </c>
      <c r="DV34" s="68">
        <f t="shared" si="19"/>
        <v>7840000</v>
      </c>
      <c r="DW34" s="69">
        <f t="shared" si="11"/>
        <v>284920000</v>
      </c>
      <c r="DX34" s="33">
        <f t="shared" si="12"/>
        <v>0</v>
      </c>
    </row>
    <row r="35" spans="1:128" s="38" customFormat="1" ht="32.25" customHeight="1">
      <c r="A35" s="26">
        <v>29</v>
      </c>
      <c r="B35" s="27" t="s">
        <v>203</v>
      </c>
      <c r="C35" s="89" t="s">
        <v>204</v>
      </c>
      <c r="D35" s="89" t="s">
        <v>454</v>
      </c>
      <c r="E35" s="87" t="s">
        <v>109</v>
      </c>
      <c r="F35" s="28" t="s">
        <v>104</v>
      </c>
      <c r="G35" s="26">
        <v>631</v>
      </c>
      <c r="H35" s="26">
        <v>49</v>
      </c>
      <c r="I35" s="29">
        <f>2.2+1409</f>
        <v>1411.2</v>
      </c>
      <c r="J35" s="88" t="s">
        <v>205</v>
      </c>
      <c r="K35" s="87">
        <v>3</v>
      </c>
      <c r="L35" s="87">
        <v>3</v>
      </c>
      <c r="M35" s="29">
        <f t="shared" si="0"/>
        <v>1698</v>
      </c>
      <c r="N35" s="29"/>
      <c r="O35" s="29"/>
      <c r="P35" s="29">
        <f t="shared" si="23"/>
        <v>100</v>
      </c>
      <c r="Q35" s="29">
        <v>25</v>
      </c>
      <c r="R35" s="29">
        <f t="shared" si="21"/>
        <v>0</v>
      </c>
      <c r="S35" s="29"/>
      <c r="T35" s="29">
        <f t="shared" si="2"/>
        <v>81</v>
      </c>
      <c r="U35" s="29">
        <v>18</v>
      </c>
      <c r="V35" s="29">
        <v>63</v>
      </c>
      <c r="W35" s="29">
        <f t="shared" si="3"/>
        <v>1692</v>
      </c>
      <c r="X35" s="29">
        <f t="shared" si="13"/>
        <v>1655</v>
      </c>
      <c r="Y35" s="29">
        <f t="shared" si="14"/>
        <v>1655</v>
      </c>
      <c r="Z35" s="29">
        <f t="shared" si="4"/>
        <v>1755</v>
      </c>
      <c r="AA35" s="29"/>
      <c r="AB35" s="29"/>
      <c r="AC35" s="29"/>
      <c r="AD35" s="29"/>
      <c r="AE35" s="29"/>
      <c r="AF35" s="29"/>
      <c r="AG35" s="29"/>
      <c r="AH35" s="29"/>
      <c r="AI35" s="29"/>
      <c r="AJ35" s="29"/>
      <c r="AK35" s="29"/>
      <c r="AL35" s="29"/>
      <c r="AM35" s="29"/>
      <c r="AN35" s="29">
        <v>1409</v>
      </c>
      <c r="AO35" s="29"/>
      <c r="AP35" s="29"/>
      <c r="AQ35" s="29"/>
      <c r="AR35" s="29"/>
      <c r="AS35" s="29"/>
      <c r="AT35" s="29"/>
      <c r="AU35" s="30"/>
      <c r="AV35" s="29"/>
      <c r="AW35" s="29"/>
      <c r="AX35" s="29"/>
      <c r="AY35" s="29"/>
      <c r="AZ35" s="29"/>
      <c r="BA35" s="29"/>
      <c r="BB35" s="29"/>
      <c r="BC35" s="29">
        <v>183</v>
      </c>
      <c r="BD35" s="29"/>
      <c r="BE35" s="29"/>
      <c r="BF35" s="29"/>
      <c r="BG35" s="29">
        <v>63</v>
      </c>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f t="shared" si="5"/>
        <v>100</v>
      </c>
      <c r="CW35" s="29">
        <f t="shared" si="6"/>
        <v>0</v>
      </c>
      <c r="CX35" s="31">
        <f t="shared" si="7"/>
        <v>1411.2</v>
      </c>
      <c r="CY35" s="31">
        <v>2.2000000000000002</v>
      </c>
      <c r="CZ35" s="31">
        <f t="shared" si="15"/>
        <v>0</v>
      </c>
      <c r="DA35" s="88" t="s">
        <v>403</v>
      </c>
      <c r="DB35" s="29">
        <v>1409</v>
      </c>
      <c r="DC35" s="35"/>
      <c r="DD35" s="35"/>
      <c r="DE35" s="35"/>
      <c r="DF35" s="35"/>
      <c r="DG35" s="33"/>
      <c r="DH35" s="39" t="s">
        <v>454</v>
      </c>
      <c r="DI35" s="6" t="s">
        <v>508</v>
      </c>
      <c r="DJ35" s="7" t="s">
        <v>511</v>
      </c>
      <c r="DK35" s="33">
        <v>1409</v>
      </c>
      <c r="DL35" s="71">
        <f t="shared" si="16"/>
        <v>3.9138888888888888</v>
      </c>
      <c r="DM35" s="68">
        <f t="shared" si="8"/>
        <v>105675000</v>
      </c>
      <c r="DN35" s="68">
        <f t="shared" si="9"/>
        <v>317025000</v>
      </c>
      <c r="DO35" s="35">
        <v>3</v>
      </c>
      <c r="DP35" s="33">
        <f t="shared" si="10"/>
        <v>83.274231678486998</v>
      </c>
      <c r="DQ35" s="35">
        <v>12</v>
      </c>
      <c r="DR35" s="69">
        <f t="shared" si="17"/>
        <v>18360000</v>
      </c>
      <c r="DS35" s="33">
        <v>1409</v>
      </c>
      <c r="DT35" s="68">
        <f t="shared" si="18"/>
        <v>42270000</v>
      </c>
      <c r="DU35" s="36">
        <f>2.2+1409</f>
        <v>1411.2</v>
      </c>
      <c r="DV35" s="68">
        <f t="shared" si="19"/>
        <v>14090000</v>
      </c>
      <c r="DW35" s="69">
        <f t="shared" si="11"/>
        <v>497420000</v>
      </c>
      <c r="DX35" s="33">
        <f t="shared" si="12"/>
        <v>0</v>
      </c>
    </row>
    <row r="36" spans="1:128" s="38" customFormat="1" ht="44.25" customHeight="1">
      <c r="A36" s="26">
        <v>30</v>
      </c>
      <c r="B36" s="27" t="s">
        <v>206</v>
      </c>
      <c r="C36" s="89" t="s">
        <v>207</v>
      </c>
      <c r="D36" s="88" t="s">
        <v>421</v>
      </c>
      <c r="E36" s="87" t="s">
        <v>109</v>
      </c>
      <c r="F36" s="28" t="s">
        <v>104</v>
      </c>
      <c r="G36" s="26">
        <v>632</v>
      </c>
      <c r="H36" s="26">
        <v>49</v>
      </c>
      <c r="I36" s="29">
        <v>1137.4000000000001</v>
      </c>
      <c r="J36" s="88" t="s">
        <v>208</v>
      </c>
      <c r="K36" s="26">
        <v>3</v>
      </c>
      <c r="L36" s="26">
        <v>5</v>
      </c>
      <c r="M36" s="29">
        <f t="shared" si="0"/>
        <v>1858</v>
      </c>
      <c r="N36" s="29"/>
      <c r="O36" s="29"/>
      <c r="P36" s="29">
        <f t="shared" si="23"/>
        <v>56</v>
      </c>
      <c r="Q36" s="29">
        <v>14</v>
      </c>
      <c r="R36" s="29">
        <f t="shared" si="21"/>
        <v>0</v>
      </c>
      <c r="S36" s="29"/>
      <c r="T36" s="29">
        <f>U36+V36</f>
        <v>94</v>
      </c>
      <c r="U36" s="29">
        <v>15</v>
      </c>
      <c r="V36" s="29">
        <v>79</v>
      </c>
      <c r="W36" s="29">
        <f t="shared" si="3"/>
        <v>1806</v>
      </c>
      <c r="X36" s="29">
        <f t="shared" si="13"/>
        <v>1829</v>
      </c>
      <c r="Y36" s="29">
        <f t="shared" si="14"/>
        <v>1829</v>
      </c>
      <c r="Z36" s="29">
        <f t="shared" si="4"/>
        <v>1885</v>
      </c>
      <c r="AA36" s="29"/>
      <c r="AB36" s="29"/>
      <c r="AC36" s="29"/>
      <c r="AD36" s="29"/>
      <c r="AE36" s="29"/>
      <c r="AF36" s="29"/>
      <c r="AG36" s="29"/>
      <c r="AH36" s="29"/>
      <c r="AI36" s="29"/>
      <c r="AJ36" s="29"/>
      <c r="AK36" s="29"/>
      <c r="AL36" s="29"/>
      <c r="AM36" s="29"/>
      <c r="AN36" s="29">
        <v>1137</v>
      </c>
      <c r="AO36" s="29"/>
      <c r="AP36" s="29"/>
      <c r="AQ36" s="29"/>
      <c r="AR36" s="29"/>
      <c r="AS36" s="29"/>
      <c r="AT36" s="29"/>
      <c r="AU36" s="30"/>
      <c r="AV36" s="29"/>
      <c r="AW36" s="29"/>
      <c r="AX36" s="29"/>
      <c r="AY36" s="29"/>
      <c r="AZ36" s="29"/>
      <c r="BA36" s="29"/>
      <c r="BB36" s="29"/>
      <c r="BC36" s="29"/>
      <c r="BD36" s="29">
        <f>20+593</f>
        <v>613</v>
      </c>
      <c r="BE36" s="29"/>
      <c r="BF36" s="29"/>
      <c r="BG36" s="29">
        <v>79</v>
      </c>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f t="shared" si="5"/>
        <v>56</v>
      </c>
      <c r="CW36" s="29">
        <f t="shared" si="6"/>
        <v>0</v>
      </c>
      <c r="CX36" s="31">
        <f t="shared" si="7"/>
        <v>1137.4000000000001</v>
      </c>
      <c r="CY36" s="31">
        <v>0</v>
      </c>
      <c r="CZ36" s="31">
        <f t="shared" si="15"/>
        <v>0</v>
      </c>
      <c r="DA36" s="88" t="s">
        <v>403</v>
      </c>
      <c r="DB36" s="29">
        <v>1137</v>
      </c>
      <c r="DC36" s="89"/>
      <c r="DD36" s="26"/>
      <c r="DE36" s="26"/>
      <c r="DF36" s="26"/>
      <c r="DG36" s="33"/>
      <c r="DH36" s="45" t="s">
        <v>500</v>
      </c>
      <c r="DI36" s="6" t="s">
        <v>508</v>
      </c>
      <c r="DJ36" s="7" t="s">
        <v>511</v>
      </c>
      <c r="DK36" s="33">
        <v>1137.4000000000001</v>
      </c>
      <c r="DL36" s="71">
        <f t="shared" si="16"/>
        <v>3.1594444444444445</v>
      </c>
      <c r="DM36" s="68">
        <f t="shared" si="8"/>
        <v>85305000</v>
      </c>
      <c r="DN36" s="68">
        <f t="shared" si="9"/>
        <v>255915000</v>
      </c>
      <c r="DO36" s="35">
        <v>4</v>
      </c>
      <c r="DP36" s="33">
        <f t="shared" si="10"/>
        <v>62.978959025470658</v>
      </c>
      <c r="DQ36" s="35">
        <v>6</v>
      </c>
      <c r="DR36" s="69">
        <f t="shared" si="17"/>
        <v>12240000</v>
      </c>
      <c r="DS36" s="33">
        <v>1137.4000000000001</v>
      </c>
      <c r="DT36" s="68">
        <f t="shared" si="18"/>
        <v>34122000</v>
      </c>
      <c r="DU36" s="36">
        <v>1137.4000000000001</v>
      </c>
      <c r="DV36" s="68">
        <f t="shared" si="19"/>
        <v>11374000</v>
      </c>
      <c r="DW36" s="69">
        <f t="shared" si="11"/>
        <v>398956000</v>
      </c>
      <c r="DX36" s="33">
        <f t="shared" si="12"/>
        <v>0</v>
      </c>
    </row>
    <row r="37" spans="1:128" s="38" customFormat="1" ht="36.6" customHeight="1">
      <c r="A37" s="26">
        <v>31</v>
      </c>
      <c r="B37" s="27" t="s">
        <v>209</v>
      </c>
      <c r="C37" s="89" t="s">
        <v>210</v>
      </c>
      <c r="D37" s="89" t="s">
        <v>455</v>
      </c>
      <c r="E37" s="87" t="s">
        <v>109</v>
      </c>
      <c r="F37" s="28" t="s">
        <v>104</v>
      </c>
      <c r="G37" s="26">
        <v>633</v>
      </c>
      <c r="H37" s="26">
        <v>49</v>
      </c>
      <c r="I37" s="29">
        <f>3.6+1684</f>
        <v>1687.6</v>
      </c>
      <c r="J37" s="88" t="s">
        <v>211</v>
      </c>
      <c r="K37" s="26">
        <v>5</v>
      </c>
      <c r="L37" s="26">
        <v>5</v>
      </c>
      <c r="M37" s="29">
        <f t="shared" si="0"/>
        <v>2830</v>
      </c>
      <c r="N37" s="29"/>
      <c r="O37" s="29"/>
      <c r="P37" s="29">
        <f t="shared" si="23"/>
        <v>0</v>
      </c>
      <c r="Q37" s="29"/>
      <c r="R37" s="29">
        <f t="shared" si="21"/>
        <v>0</v>
      </c>
      <c r="S37" s="29"/>
      <c r="T37" s="29">
        <f>U37+V37</f>
        <v>721</v>
      </c>
      <c r="U37" s="29">
        <v>22</v>
      </c>
      <c r="V37" s="29">
        <f>170+529</f>
        <v>699</v>
      </c>
      <c r="W37" s="29">
        <f t="shared" si="3"/>
        <v>2109</v>
      </c>
      <c r="X37" s="29">
        <f t="shared" si="13"/>
        <v>2808</v>
      </c>
      <c r="Y37" s="29">
        <f t="shared" si="14"/>
        <v>2808</v>
      </c>
      <c r="Z37" s="29">
        <f t="shared" si="4"/>
        <v>2808</v>
      </c>
      <c r="AA37" s="29"/>
      <c r="AB37" s="29"/>
      <c r="AC37" s="29"/>
      <c r="AD37" s="29"/>
      <c r="AE37" s="29"/>
      <c r="AF37" s="29"/>
      <c r="AG37" s="29"/>
      <c r="AH37" s="29"/>
      <c r="AI37" s="29"/>
      <c r="AJ37" s="29"/>
      <c r="AK37" s="29"/>
      <c r="AL37" s="29"/>
      <c r="AM37" s="29"/>
      <c r="AN37" s="29">
        <v>1684</v>
      </c>
      <c r="AO37" s="29"/>
      <c r="AP37" s="29"/>
      <c r="AQ37" s="29"/>
      <c r="AR37" s="29"/>
      <c r="AS37" s="29"/>
      <c r="AT37" s="29"/>
      <c r="AU37" s="30">
        <v>529</v>
      </c>
      <c r="AV37" s="29"/>
      <c r="AW37" s="29"/>
      <c r="AX37" s="29"/>
      <c r="AY37" s="29"/>
      <c r="AZ37" s="29"/>
      <c r="BA37" s="29"/>
      <c r="BB37" s="29">
        <v>425</v>
      </c>
      <c r="BC37" s="29"/>
      <c r="BD37" s="29"/>
      <c r="BE37" s="29"/>
      <c r="BF37" s="29">
        <v>170</v>
      </c>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f t="shared" si="5"/>
        <v>0</v>
      </c>
      <c r="CW37" s="29">
        <f t="shared" si="6"/>
        <v>0</v>
      </c>
      <c r="CX37" s="31">
        <f t="shared" si="7"/>
        <v>1687.6</v>
      </c>
      <c r="CY37" s="31">
        <v>3.6</v>
      </c>
      <c r="CZ37" s="31">
        <f t="shared" si="15"/>
        <v>0</v>
      </c>
      <c r="DA37" s="88" t="s">
        <v>403</v>
      </c>
      <c r="DB37" s="29">
        <v>1684</v>
      </c>
      <c r="DC37" s="89"/>
      <c r="DD37" s="26"/>
      <c r="DE37" s="26"/>
      <c r="DF37" s="26"/>
      <c r="DG37" s="33"/>
      <c r="DH37" s="39" t="s">
        <v>455</v>
      </c>
      <c r="DI37" s="6" t="s">
        <v>508</v>
      </c>
      <c r="DJ37" s="7" t="s">
        <v>511</v>
      </c>
      <c r="DK37" s="33">
        <v>1684</v>
      </c>
      <c r="DL37" s="71">
        <f t="shared" si="16"/>
        <v>4.677777777777778</v>
      </c>
      <c r="DM37" s="68">
        <f t="shared" si="8"/>
        <v>126300000</v>
      </c>
      <c r="DN37" s="68">
        <f t="shared" si="9"/>
        <v>378900000</v>
      </c>
      <c r="DO37" s="35">
        <v>5</v>
      </c>
      <c r="DP37" s="33">
        <f t="shared" si="10"/>
        <v>79.848269321953538</v>
      </c>
      <c r="DQ37" s="35">
        <v>12</v>
      </c>
      <c r="DR37" s="69">
        <f t="shared" si="17"/>
        <v>30600000</v>
      </c>
      <c r="DS37" s="33">
        <v>1684</v>
      </c>
      <c r="DT37" s="68">
        <f t="shared" si="18"/>
        <v>50520000</v>
      </c>
      <c r="DU37" s="36">
        <f>3.6+1684</f>
        <v>1687.6</v>
      </c>
      <c r="DV37" s="68">
        <f t="shared" si="19"/>
        <v>16840000</v>
      </c>
      <c r="DW37" s="69">
        <f t="shared" si="11"/>
        <v>603160000</v>
      </c>
      <c r="DX37" s="33">
        <f t="shared" si="12"/>
        <v>0</v>
      </c>
    </row>
    <row r="38" spans="1:128" s="38" customFormat="1" ht="59.25" customHeight="1">
      <c r="A38" s="26">
        <v>32</v>
      </c>
      <c r="B38" s="27" t="s">
        <v>212</v>
      </c>
      <c r="C38" s="89" t="s">
        <v>213</v>
      </c>
      <c r="D38" s="88" t="s">
        <v>215</v>
      </c>
      <c r="E38" s="87" t="s">
        <v>201</v>
      </c>
      <c r="F38" s="28" t="s">
        <v>104</v>
      </c>
      <c r="G38" s="26">
        <v>634</v>
      </c>
      <c r="H38" s="26">
        <v>49</v>
      </c>
      <c r="I38" s="29">
        <f>7.8+560+1095</f>
        <v>1662.8</v>
      </c>
      <c r="J38" s="88" t="s">
        <v>214</v>
      </c>
      <c r="K38" s="87">
        <v>4</v>
      </c>
      <c r="L38" s="87">
        <v>2</v>
      </c>
      <c r="M38" s="29">
        <f t="shared" si="0"/>
        <v>2104</v>
      </c>
      <c r="N38" s="29"/>
      <c r="O38" s="29"/>
      <c r="P38" s="29">
        <f t="shared" si="23"/>
        <v>0</v>
      </c>
      <c r="Q38" s="29"/>
      <c r="R38" s="29">
        <f t="shared" si="21"/>
        <v>0</v>
      </c>
      <c r="S38" s="29"/>
      <c r="T38" s="29">
        <f>U38+V38</f>
        <v>242</v>
      </c>
      <c r="U38" s="29">
        <v>21</v>
      </c>
      <c r="V38" s="29">
        <v>221</v>
      </c>
      <c r="W38" s="29">
        <f t="shared" si="3"/>
        <v>1862</v>
      </c>
      <c r="X38" s="29">
        <f t="shared" si="13"/>
        <v>2083</v>
      </c>
      <c r="Y38" s="29">
        <f t="shared" si="14"/>
        <v>2083</v>
      </c>
      <c r="Z38" s="29">
        <f t="shared" si="4"/>
        <v>2083</v>
      </c>
      <c r="AA38" s="29"/>
      <c r="AB38" s="29"/>
      <c r="AC38" s="29"/>
      <c r="AD38" s="29"/>
      <c r="AE38" s="29"/>
      <c r="AF38" s="29"/>
      <c r="AG38" s="29"/>
      <c r="AH38" s="29"/>
      <c r="AI38" s="29"/>
      <c r="AJ38" s="29"/>
      <c r="AK38" s="29"/>
      <c r="AL38" s="29"/>
      <c r="AM38" s="29"/>
      <c r="AN38" s="29">
        <v>1095</v>
      </c>
      <c r="AO38" s="29">
        <v>560</v>
      </c>
      <c r="AP38" s="29"/>
      <c r="AQ38" s="29"/>
      <c r="AR38" s="29"/>
      <c r="AS38" s="29"/>
      <c r="AT38" s="29"/>
      <c r="AU38" s="30"/>
      <c r="AV38" s="29"/>
      <c r="AW38" s="29"/>
      <c r="AX38" s="29"/>
      <c r="AY38" s="29"/>
      <c r="AZ38" s="29"/>
      <c r="BA38" s="29"/>
      <c r="BB38" s="29"/>
      <c r="BC38" s="29">
        <f>73+134</f>
        <v>207</v>
      </c>
      <c r="BD38" s="29"/>
      <c r="BE38" s="29"/>
      <c r="BF38" s="29"/>
      <c r="BG38" s="29">
        <v>221</v>
      </c>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f t="shared" si="5"/>
        <v>0</v>
      </c>
      <c r="CW38" s="29">
        <f t="shared" si="6"/>
        <v>0</v>
      </c>
      <c r="CX38" s="31">
        <f t="shared" si="7"/>
        <v>1662.8</v>
      </c>
      <c r="CY38" s="31">
        <v>7.8</v>
      </c>
      <c r="CZ38" s="31">
        <f t="shared" si="15"/>
        <v>0</v>
      </c>
      <c r="DA38" s="88" t="s">
        <v>403</v>
      </c>
      <c r="DB38" s="29">
        <v>1095</v>
      </c>
      <c r="DC38" s="89"/>
      <c r="DD38" s="26"/>
      <c r="DE38" s="26"/>
      <c r="DF38" s="26"/>
      <c r="DG38" s="33"/>
      <c r="DH38" s="45" t="s">
        <v>520</v>
      </c>
      <c r="DI38" s="6" t="s">
        <v>515</v>
      </c>
      <c r="DJ38" s="7" t="s">
        <v>516</v>
      </c>
      <c r="DK38" s="33">
        <f>560+1095</f>
        <v>1655</v>
      </c>
      <c r="DL38" s="71">
        <f t="shared" si="16"/>
        <v>4.5972222222222223</v>
      </c>
      <c r="DM38" s="68">
        <f t="shared" si="8"/>
        <v>124125000</v>
      </c>
      <c r="DN38" s="68">
        <f t="shared" si="9"/>
        <v>372375000</v>
      </c>
      <c r="DO38" s="35">
        <v>2</v>
      </c>
      <c r="DP38" s="33">
        <f t="shared" si="10"/>
        <v>88.882921589688507</v>
      </c>
      <c r="DQ38" s="35">
        <v>12</v>
      </c>
      <c r="DR38" s="69">
        <f t="shared" si="17"/>
        <v>12240000</v>
      </c>
      <c r="DS38" s="33">
        <v>1655</v>
      </c>
      <c r="DT38" s="68">
        <f t="shared" si="18"/>
        <v>49650000</v>
      </c>
      <c r="DU38" s="36">
        <f>7.8+1655</f>
        <v>1662.8</v>
      </c>
      <c r="DV38" s="68">
        <f t="shared" si="19"/>
        <v>16550000</v>
      </c>
      <c r="DW38" s="69">
        <f t="shared" si="11"/>
        <v>574940000</v>
      </c>
      <c r="DX38" s="33">
        <f t="shared" si="12"/>
        <v>0</v>
      </c>
    </row>
    <row r="39" spans="1:128" s="51" customFormat="1" ht="36.6" customHeight="1">
      <c r="A39" s="40">
        <v>33</v>
      </c>
      <c r="B39" s="41" t="s">
        <v>216</v>
      </c>
      <c r="C39" s="45" t="s">
        <v>217</v>
      </c>
      <c r="D39" s="39" t="s">
        <v>456</v>
      </c>
      <c r="E39" s="43" t="s">
        <v>109</v>
      </c>
      <c r="F39" s="40" t="s">
        <v>104</v>
      </c>
      <c r="G39" s="40">
        <v>1290</v>
      </c>
      <c r="H39" s="40">
        <v>49</v>
      </c>
      <c r="I39" s="44">
        <f>121.5+595.6</f>
        <v>717.1</v>
      </c>
      <c r="J39" s="45" t="s">
        <v>218</v>
      </c>
      <c r="K39" s="40">
        <v>1</v>
      </c>
      <c r="L39" s="40">
        <v>3</v>
      </c>
      <c r="M39" s="44">
        <f t="shared" si="0"/>
        <v>726</v>
      </c>
      <c r="N39" s="44"/>
      <c r="O39" s="44"/>
      <c r="P39" s="44">
        <f t="shared" si="23"/>
        <v>0</v>
      </c>
      <c r="Q39" s="44"/>
      <c r="R39" s="44">
        <f t="shared" si="21"/>
        <v>0</v>
      </c>
      <c r="S39" s="44"/>
      <c r="T39" s="44">
        <f>U39+V39</f>
        <v>130.4</v>
      </c>
      <c r="U39" s="44">
        <v>9</v>
      </c>
      <c r="V39" s="44">
        <v>121.4</v>
      </c>
      <c r="W39" s="44">
        <f t="shared" si="3"/>
        <v>595.6</v>
      </c>
      <c r="X39" s="29">
        <f t="shared" si="13"/>
        <v>717</v>
      </c>
      <c r="Y39" s="29">
        <f t="shared" si="14"/>
        <v>717</v>
      </c>
      <c r="Z39" s="44">
        <f t="shared" si="4"/>
        <v>717</v>
      </c>
      <c r="AA39" s="44"/>
      <c r="AB39" s="44"/>
      <c r="AC39" s="44"/>
      <c r="AD39" s="44"/>
      <c r="AE39" s="44"/>
      <c r="AF39" s="44"/>
      <c r="AG39" s="44"/>
      <c r="AH39" s="44"/>
      <c r="AI39" s="44"/>
      <c r="AJ39" s="44"/>
      <c r="AK39" s="44"/>
      <c r="AL39" s="44"/>
      <c r="AM39" s="44"/>
      <c r="AN39" s="44"/>
      <c r="AO39" s="44">
        <v>717</v>
      </c>
      <c r="AP39" s="44"/>
      <c r="AQ39" s="44"/>
      <c r="AR39" s="44"/>
      <c r="AS39" s="44"/>
      <c r="AT39" s="44"/>
      <c r="AU39" s="46"/>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f t="shared" si="5"/>
        <v>0</v>
      </c>
      <c r="CW39" s="44">
        <f t="shared" si="6"/>
        <v>0</v>
      </c>
      <c r="CX39" s="31">
        <f t="shared" si="7"/>
        <v>717.1</v>
      </c>
      <c r="CY39" s="47">
        <v>121.5</v>
      </c>
      <c r="CZ39" s="31">
        <f t="shared" si="15"/>
        <v>0</v>
      </c>
      <c r="DA39" s="88" t="s">
        <v>403</v>
      </c>
      <c r="DB39" s="44">
        <f>717-121.4</f>
        <v>595.6</v>
      </c>
      <c r="DC39" s="39"/>
      <c r="DD39" s="40"/>
      <c r="DE39" s="40"/>
      <c r="DF39" s="40"/>
      <c r="DG39" s="49"/>
      <c r="DH39" s="39" t="s">
        <v>456</v>
      </c>
      <c r="DI39" s="1" t="s">
        <v>508</v>
      </c>
      <c r="DJ39" s="2" t="s">
        <v>510</v>
      </c>
      <c r="DK39" s="49">
        <v>595.6</v>
      </c>
      <c r="DL39" s="71">
        <f t="shared" si="16"/>
        <v>1.6544444444444446</v>
      </c>
      <c r="DM39" s="68">
        <f t="shared" si="8"/>
        <v>44670000</v>
      </c>
      <c r="DN39" s="68">
        <f t="shared" si="9"/>
        <v>134010000</v>
      </c>
      <c r="DO39" s="50">
        <v>6</v>
      </c>
      <c r="DP39" s="33">
        <f t="shared" si="10"/>
        <v>100</v>
      </c>
      <c r="DQ39" s="50">
        <v>12</v>
      </c>
      <c r="DR39" s="69">
        <f t="shared" si="17"/>
        <v>36720000</v>
      </c>
      <c r="DS39" s="49">
        <v>595.6</v>
      </c>
      <c r="DT39" s="68">
        <f t="shared" si="18"/>
        <v>17868000</v>
      </c>
      <c r="DU39" s="36">
        <f>121.5+595.6</f>
        <v>717.1</v>
      </c>
      <c r="DV39" s="68">
        <f t="shared" si="19"/>
        <v>5956000</v>
      </c>
      <c r="DW39" s="69">
        <f t="shared" si="11"/>
        <v>239224000</v>
      </c>
      <c r="DX39" s="33">
        <f t="shared" si="12"/>
        <v>0</v>
      </c>
    </row>
    <row r="40" spans="1:128" s="51" customFormat="1" ht="72" customHeight="1">
      <c r="A40" s="40">
        <v>34</v>
      </c>
      <c r="B40" s="41" t="s">
        <v>219</v>
      </c>
      <c r="C40" s="56" t="s">
        <v>220</v>
      </c>
      <c r="D40" s="88" t="s">
        <v>422</v>
      </c>
      <c r="E40" s="43" t="s">
        <v>109</v>
      </c>
      <c r="F40" s="40" t="s">
        <v>104</v>
      </c>
      <c r="G40" s="40">
        <v>1291</v>
      </c>
      <c r="H40" s="40">
        <v>49</v>
      </c>
      <c r="I40" s="44">
        <v>841.3</v>
      </c>
      <c r="J40" s="56" t="s">
        <v>220</v>
      </c>
      <c r="K40" s="40">
        <v>2</v>
      </c>
      <c r="L40" s="40">
        <v>1</v>
      </c>
      <c r="M40" s="44">
        <f t="shared" si="0"/>
        <v>1052</v>
      </c>
      <c r="N40" s="44"/>
      <c r="O40" s="44"/>
      <c r="P40" s="44">
        <f t="shared" si="23"/>
        <v>0</v>
      </c>
      <c r="Q40" s="44"/>
      <c r="R40" s="44">
        <f t="shared" si="21"/>
        <v>0</v>
      </c>
      <c r="S40" s="44"/>
      <c r="T40" s="44">
        <f t="shared" ref="T40:T98" si="24">U40+V40</f>
        <v>10</v>
      </c>
      <c r="U40" s="44">
        <v>10</v>
      </c>
      <c r="V40" s="44"/>
      <c r="W40" s="44">
        <f t="shared" si="3"/>
        <v>1042</v>
      </c>
      <c r="X40" s="29">
        <f t="shared" si="13"/>
        <v>1042</v>
      </c>
      <c r="Y40" s="29">
        <f t="shared" si="14"/>
        <v>1042</v>
      </c>
      <c r="Z40" s="44">
        <f t="shared" si="4"/>
        <v>1042</v>
      </c>
      <c r="AA40" s="44"/>
      <c r="AB40" s="44"/>
      <c r="AC40" s="44"/>
      <c r="AD40" s="44"/>
      <c r="AE40" s="44"/>
      <c r="AF40" s="44"/>
      <c r="AG40" s="44"/>
      <c r="AH40" s="44"/>
      <c r="AI40" s="44"/>
      <c r="AJ40" s="44"/>
      <c r="AK40" s="44"/>
      <c r="AL40" s="44"/>
      <c r="AM40" s="44"/>
      <c r="AN40" s="44"/>
      <c r="AO40" s="44">
        <v>841</v>
      </c>
      <c r="AP40" s="44"/>
      <c r="AQ40" s="44"/>
      <c r="AR40" s="44"/>
      <c r="AS40" s="44"/>
      <c r="AT40" s="44"/>
      <c r="AU40" s="46"/>
      <c r="AV40" s="44"/>
      <c r="AW40" s="44"/>
      <c r="AX40" s="44"/>
      <c r="AY40" s="44"/>
      <c r="AZ40" s="44"/>
      <c r="BA40" s="44"/>
      <c r="BB40" s="44"/>
      <c r="BC40" s="44"/>
      <c r="BD40" s="44">
        <v>201</v>
      </c>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f t="shared" si="5"/>
        <v>0</v>
      </c>
      <c r="CW40" s="44">
        <f t="shared" si="6"/>
        <v>0</v>
      </c>
      <c r="CX40" s="31">
        <f t="shared" si="7"/>
        <v>841.30000000000007</v>
      </c>
      <c r="CY40" s="47">
        <v>0</v>
      </c>
      <c r="CZ40" s="31">
        <f t="shared" si="15"/>
        <v>0</v>
      </c>
      <c r="DA40" s="88" t="s">
        <v>404</v>
      </c>
      <c r="DB40" s="44">
        <v>841</v>
      </c>
      <c r="DC40" s="39"/>
      <c r="DD40" s="40"/>
      <c r="DE40" s="40"/>
      <c r="DF40" s="40"/>
      <c r="DG40" s="49"/>
      <c r="DH40" s="45" t="s">
        <v>529</v>
      </c>
      <c r="DI40" s="1" t="s">
        <v>508</v>
      </c>
      <c r="DJ40" s="2" t="s">
        <v>510</v>
      </c>
      <c r="DK40" s="49">
        <v>841.30000000000007</v>
      </c>
      <c r="DL40" s="71">
        <f t="shared" si="16"/>
        <v>2.3369444444444447</v>
      </c>
      <c r="DM40" s="68">
        <f t="shared" si="8"/>
        <v>63098000</v>
      </c>
      <c r="DN40" s="68">
        <f t="shared" si="9"/>
        <v>189293000</v>
      </c>
      <c r="DO40" s="50">
        <v>1</v>
      </c>
      <c r="DP40" s="33">
        <f t="shared" si="10"/>
        <v>80.738963531669867</v>
      </c>
      <c r="DQ40" s="50">
        <v>12</v>
      </c>
      <c r="DR40" s="69">
        <f t="shared" si="17"/>
        <v>6120000</v>
      </c>
      <c r="DS40" s="49">
        <v>841.30000000000007</v>
      </c>
      <c r="DT40" s="68">
        <f t="shared" si="18"/>
        <v>25239000</v>
      </c>
      <c r="DU40" s="36">
        <v>841.30000000000007</v>
      </c>
      <c r="DV40" s="68">
        <f t="shared" si="19"/>
        <v>8413000</v>
      </c>
      <c r="DW40" s="69">
        <f t="shared" si="11"/>
        <v>292163000</v>
      </c>
      <c r="DX40" s="33">
        <f t="shared" si="12"/>
        <v>0</v>
      </c>
    </row>
    <row r="41" spans="1:128" s="51" customFormat="1" ht="36.6" customHeight="1">
      <c r="A41" s="40">
        <v>35</v>
      </c>
      <c r="B41" s="41" t="s">
        <v>221</v>
      </c>
      <c r="C41" s="45" t="s">
        <v>222</v>
      </c>
      <c r="D41" s="88" t="s">
        <v>224</v>
      </c>
      <c r="E41" s="43" t="s">
        <v>109</v>
      </c>
      <c r="F41" s="40" t="s">
        <v>104</v>
      </c>
      <c r="G41" s="40">
        <v>1294</v>
      </c>
      <c r="H41" s="40">
        <v>49</v>
      </c>
      <c r="I41" s="44">
        <v>1414.1</v>
      </c>
      <c r="J41" s="45" t="s">
        <v>223</v>
      </c>
      <c r="K41" s="40">
        <v>3</v>
      </c>
      <c r="L41" s="40">
        <v>3</v>
      </c>
      <c r="M41" s="44">
        <f t="shared" si="0"/>
        <v>1698</v>
      </c>
      <c r="N41" s="44"/>
      <c r="O41" s="44"/>
      <c r="P41" s="44">
        <f t="shared" si="23"/>
        <v>0</v>
      </c>
      <c r="Q41" s="44"/>
      <c r="R41" s="44">
        <f t="shared" si="21"/>
        <v>0</v>
      </c>
      <c r="S41" s="44"/>
      <c r="T41" s="44">
        <f t="shared" si="24"/>
        <v>17</v>
      </c>
      <c r="U41" s="44">
        <v>17</v>
      </c>
      <c r="V41" s="44"/>
      <c r="W41" s="44">
        <f t="shared" si="3"/>
        <v>1681</v>
      </c>
      <c r="X41" s="29">
        <f t="shared" si="13"/>
        <v>1681</v>
      </c>
      <c r="Y41" s="29">
        <f t="shared" si="14"/>
        <v>1681</v>
      </c>
      <c r="Z41" s="44">
        <f t="shared" si="4"/>
        <v>1681</v>
      </c>
      <c r="AA41" s="44"/>
      <c r="AB41" s="44"/>
      <c r="AC41" s="44"/>
      <c r="AD41" s="44"/>
      <c r="AE41" s="44"/>
      <c r="AF41" s="44"/>
      <c r="AG41" s="44"/>
      <c r="AH41" s="44"/>
      <c r="AI41" s="44"/>
      <c r="AJ41" s="44"/>
      <c r="AK41" s="44"/>
      <c r="AL41" s="44"/>
      <c r="AM41" s="44"/>
      <c r="AN41" s="44"/>
      <c r="AO41" s="44">
        <v>1414</v>
      </c>
      <c r="AP41" s="44"/>
      <c r="AQ41" s="44"/>
      <c r="AR41" s="44"/>
      <c r="AS41" s="44"/>
      <c r="AT41" s="44"/>
      <c r="AU41" s="46"/>
      <c r="AV41" s="44"/>
      <c r="AW41" s="44"/>
      <c r="AX41" s="44"/>
      <c r="AY41" s="44"/>
      <c r="AZ41" s="44"/>
      <c r="BA41" s="44"/>
      <c r="BB41" s="44"/>
      <c r="BC41" s="44">
        <v>267</v>
      </c>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f t="shared" si="5"/>
        <v>0</v>
      </c>
      <c r="CW41" s="44">
        <f t="shared" si="6"/>
        <v>0</v>
      </c>
      <c r="CX41" s="31">
        <f t="shared" si="7"/>
        <v>1414.1</v>
      </c>
      <c r="CY41" s="47">
        <v>0</v>
      </c>
      <c r="CZ41" s="31">
        <f t="shared" si="15"/>
        <v>0</v>
      </c>
      <c r="DA41" s="88" t="s">
        <v>404</v>
      </c>
      <c r="DB41" s="44">
        <v>1414</v>
      </c>
      <c r="DC41" s="39"/>
      <c r="DD41" s="40"/>
      <c r="DE41" s="40"/>
      <c r="DF41" s="40"/>
      <c r="DG41" s="49"/>
      <c r="DH41" s="45" t="s">
        <v>224</v>
      </c>
      <c r="DI41" s="1" t="s">
        <v>508</v>
      </c>
      <c r="DJ41" s="2" t="s">
        <v>510</v>
      </c>
      <c r="DK41" s="49">
        <v>1414.1</v>
      </c>
      <c r="DL41" s="71">
        <f t="shared" si="16"/>
        <v>3.9280555555555554</v>
      </c>
      <c r="DM41" s="68">
        <f t="shared" si="8"/>
        <v>106058000</v>
      </c>
      <c r="DN41" s="68">
        <f t="shared" si="9"/>
        <v>318173000</v>
      </c>
      <c r="DO41" s="50">
        <v>4</v>
      </c>
      <c r="DP41" s="33">
        <f t="shared" si="10"/>
        <v>84.122546103509805</v>
      </c>
      <c r="DQ41" s="50">
        <v>12</v>
      </c>
      <c r="DR41" s="69">
        <f t="shared" si="17"/>
        <v>24480000</v>
      </c>
      <c r="DS41" s="49">
        <v>1414.1</v>
      </c>
      <c r="DT41" s="68">
        <f t="shared" si="18"/>
        <v>42423000</v>
      </c>
      <c r="DU41" s="36">
        <v>1414.1</v>
      </c>
      <c r="DV41" s="68">
        <f t="shared" si="19"/>
        <v>14141000</v>
      </c>
      <c r="DW41" s="69">
        <f t="shared" si="11"/>
        <v>505275000</v>
      </c>
      <c r="DX41" s="33">
        <f t="shared" si="12"/>
        <v>0</v>
      </c>
    </row>
    <row r="42" spans="1:128" s="51" customFormat="1" ht="57" customHeight="1">
      <c r="A42" s="40">
        <v>36</v>
      </c>
      <c r="B42" s="41" t="s">
        <v>225</v>
      </c>
      <c r="C42" s="36" t="s">
        <v>226</v>
      </c>
      <c r="D42" s="88" t="s">
        <v>423</v>
      </c>
      <c r="E42" s="43" t="s">
        <v>109</v>
      </c>
      <c r="F42" s="40" t="s">
        <v>104</v>
      </c>
      <c r="G42" s="40">
        <v>1294</v>
      </c>
      <c r="H42" s="40">
        <v>49</v>
      </c>
      <c r="I42" s="44">
        <f>100.5+936.5</f>
        <v>1037</v>
      </c>
      <c r="J42" s="44" t="s">
        <v>227</v>
      </c>
      <c r="K42" s="40">
        <v>3</v>
      </c>
      <c r="L42" s="40">
        <v>4</v>
      </c>
      <c r="M42" s="44">
        <f t="shared" si="0"/>
        <v>1778</v>
      </c>
      <c r="N42" s="44"/>
      <c r="O42" s="44"/>
      <c r="P42" s="44">
        <f t="shared" si="23"/>
        <v>0</v>
      </c>
      <c r="Q42" s="44"/>
      <c r="R42" s="44">
        <f t="shared" si="21"/>
        <v>0</v>
      </c>
      <c r="S42" s="44"/>
      <c r="T42" s="44">
        <f t="shared" si="24"/>
        <v>733.5</v>
      </c>
      <c r="U42" s="44">
        <v>12</v>
      </c>
      <c r="V42" s="44">
        <f>281+100.5+340</f>
        <v>721.5</v>
      </c>
      <c r="W42" s="44">
        <f t="shared" si="3"/>
        <v>1044.5</v>
      </c>
      <c r="X42" s="29">
        <f t="shared" si="13"/>
        <v>1766</v>
      </c>
      <c r="Y42" s="29">
        <f t="shared" si="14"/>
        <v>1766</v>
      </c>
      <c r="Z42" s="44">
        <f t="shared" si="4"/>
        <v>1766</v>
      </c>
      <c r="AA42" s="44"/>
      <c r="AB42" s="44"/>
      <c r="AC42" s="44"/>
      <c r="AD42" s="44"/>
      <c r="AE42" s="44"/>
      <c r="AF42" s="44"/>
      <c r="AG42" s="44"/>
      <c r="AH42" s="44"/>
      <c r="AI42" s="44"/>
      <c r="AJ42" s="44"/>
      <c r="AK42" s="44"/>
      <c r="AL42" s="44"/>
      <c r="AM42" s="44"/>
      <c r="AN42" s="44"/>
      <c r="AO42" s="44">
        <v>1037</v>
      </c>
      <c r="AP42" s="44"/>
      <c r="AQ42" s="44"/>
      <c r="AR42" s="44"/>
      <c r="AS42" s="44"/>
      <c r="AT42" s="44"/>
      <c r="AU42" s="46"/>
      <c r="AV42" s="44"/>
      <c r="AW42" s="44"/>
      <c r="AX42" s="44"/>
      <c r="AY42" s="44"/>
      <c r="AZ42" s="44"/>
      <c r="BA42" s="44"/>
      <c r="BB42" s="44"/>
      <c r="BC42" s="44">
        <v>108</v>
      </c>
      <c r="BD42" s="44"/>
      <c r="BE42" s="44"/>
      <c r="BF42" s="44"/>
      <c r="BG42" s="44">
        <v>281</v>
      </c>
      <c r="BH42" s="44">
        <v>340</v>
      </c>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f t="shared" si="5"/>
        <v>0</v>
      </c>
      <c r="CW42" s="44">
        <f t="shared" si="6"/>
        <v>0</v>
      </c>
      <c r="CX42" s="31">
        <f t="shared" si="7"/>
        <v>1037</v>
      </c>
      <c r="CY42" s="47">
        <v>100.5</v>
      </c>
      <c r="CZ42" s="31">
        <f t="shared" si="15"/>
        <v>0</v>
      </c>
      <c r="DA42" s="88" t="s">
        <v>404</v>
      </c>
      <c r="DB42" s="44">
        <v>936.5</v>
      </c>
      <c r="DC42" s="39"/>
      <c r="DD42" s="40"/>
      <c r="DE42" s="40"/>
      <c r="DF42" s="40"/>
      <c r="DG42" s="49"/>
      <c r="DH42" s="45" t="s">
        <v>501</v>
      </c>
      <c r="DI42" s="1" t="s">
        <v>508</v>
      </c>
      <c r="DJ42" s="2" t="s">
        <v>510</v>
      </c>
      <c r="DK42" s="49">
        <v>936.5</v>
      </c>
      <c r="DL42" s="71">
        <f t="shared" si="16"/>
        <v>2.6013888888888888</v>
      </c>
      <c r="DM42" s="68">
        <f t="shared" si="8"/>
        <v>70238000</v>
      </c>
      <c r="DN42" s="68">
        <f t="shared" si="9"/>
        <v>210713000</v>
      </c>
      <c r="DO42" s="50">
        <v>3</v>
      </c>
      <c r="DP42" s="33">
        <f t="shared" si="10"/>
        <v>89.660124461464818</v>
      </c>
      <c r="DQ42" s="50">
        <v>12</v>
      </c>
      <c r="DR42" s="69">
        <f t="shared" si="17"/>
        <v>18360000</v>
      </c>
      <c r="DS42" s="49">
        <v>936.5</v>
      </c>
      <c r="DT42" s="68">
        <f t="shared" si="18"/>
        <v>28095000</v>
      </c>
      <c r="DU42" s="36">
        <f>100.5+936.5</f>
        <v>1037</v>
      </c>
      <c r="DV42" s="68">
        <f t="shared" si="19"/>
        <v>9365000</v>
      </c>
      <c r="DW42" s="69">
        <f t="shared" si="11"/>
        <v>336771000</v>
      </c>
      <c r="DX42" s="33">
        <f t="shared" si="12"/>
        <v>0</v>
      </c>
    </row>
    <row r="43" spans="1:128" s="51" customFormat="1" ht="96.75" customHeight="1">
      <c r="A43" s="40">
        <v>37</v>
      </c>
      <c r="B43" s="41" t="s">
        <v>228</v>
      </c>
      <c r="C43" s="45" t="s">
        <v>229</v>
      </c>
      <c r="D43" s="88" t="s">
        <v>424</v>
      </c>
      <c r="E43" s="43" t="s">
        <v>109</v>
      </c>
      <c r="F43" s="40" t="s">
        <v>104</v>
      </c>
      <c r="G43" s="40">
        <v>1295</v>
      </c>
      <c r="H43" s="40">
        <v>49</v>
      </c>
      <c r="I43" s="44">
        <v>557.29999999999995</v>
      </c>
      <c r="J43" s="56" t="s">
        <v>230</v>
      </c>
      <c r="K43" s="40">
        <v>2</v>
      </c>
      <c r="L43" s="40">
        <v>1</v>
      </c>
      <c r="M43" s="44">
        <f t="shared" si="0"/>
        <v>1052</v>
      </c>
      <c r="N43" s="44"/>
      <c r="O43" s="44"/>
      <c r="P43" s="44">
        <f t="shared" si="23"/>
        <v>0</v>
      </c>
      <c r="Q43" s="44"/>
      <c r="R43" s="44">
        <f t="shared" si="21"/>
        <v>0</v>
      </c>
      <c r="S43" s="44"/>
      <c r="T43" s="44">
        <f t="shared" si="24"/>
        <v>125</v>
      </c>
      <c r="U43" s="44">
        <v>10</v>
      </c>
      <c r="V43" s="44">
        <v>115</v>
      </c>
      <c r="W43" s="44">
        <f t="shared" si="3"/>
        <v>927</v>
      </c>
      <c r="X43" s="29">
        <f t="shared" si="13"/>
        <v>1042</v>
      </c>
      <c r="Y43" s="29">
        <f t="shared" si="14"/>
        <v>1042</v>
      </c>
      <c r="Z43" s="44">
        <f t="shared" si="4"/>
        <v>1042</v>
      </c>
      <c r="AA43" s="44"/>
      <c r="AB43" s="44"/>
      <c r="AC43" s="44"/>
      <c r="AD43" s="44"/>
      <c r="AE43" s="44"/>
      <c r="AF43" s="44"/>
      <c r="AG43" s="44"/>
      <c r="AH43" s="44"/>
      <c r="AI43" s="44"/>
      <c r="AJ43" s="44"/>
      <c r="AK43" s="44"/>
      <c r="AL43" s="44"/>
      <c r="AM43" s="44"/>
      <c r="AN43" s="44"/>
      <c r="AO43" s="44">
        <v>557</v>
      </c>
      <c r="AP43" s="44"/>
      <c r="AQ43" s="44"/>
      <c r="AR43" s="44"/>
      <c r="AS43" s="44"/>
      <c r="AT43" s="44"/>
      <c r="AU43" s="46"/>
      <c r="AV43" s="44"/>
      <c r="AW43" s="44"/>
      <c r="AX43" s="44"/>
      <c r="AY43" s="44"/>
      <c r="AZ43" s="44"/>
      <c r="BA43" s="44"/>
      <c r="BB43" s="44"/>
      <c r="BC43" s="44">
        <v>370</v>
      </c>
      <c r="BD43" s="44"/>
      <c r="BE43" s="44"/>
      <c r="BF43" s="44"/>
      <c r="BG43" s="44">
        <v>115</v>
      </c>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f t="shared" si="5"/>
        <v>0</v>
      </c>
      <c r="CW43" s="44">
        <f t="shared" si="6"/>
        <v>0</v>
      </c>
      <c r="CX43" s="31">
        <f t="shared" si="7"/>
        <v>557.29999999999995</v>
      </c>
      <c r="CY43" s="47">
        <v>0</v>
      </c>
      <c r="CZ43" s="31">
        <f t="shared" si="15"/>
        <v>0</v>
      </c>
      <c r="DA43" s="88" t="s">
        <v>404</v>
      </c>
      <c r="DB43" s="44">
        <v>557</v>
      </c>
      <c r="DC43" s="39"/>
      <c r="DD43" s="40"/>
      <c r="DE43" s="40"/>
      <c r="DF43" s="40"/>
      <c r="DG43" s="49"/>
      <c r="DH43" s="45" t="s">
        <v>533</v>
      </c>
      <c r="DI43" s="1" t="s">
        <v>508</v>
      </c>
      <c r="DJ43" s="2" t="s">
        <v>510</v>
      </c>
      <c r="DK43" s="49">
        <v>557.29999999999995</v>
      </c>
      <c r="DL43" s="71">
        <f t="shared" si="16"/>
        <v>1.5480555555555555</v>
      </c>
      <c r="DM43" s="68">
        <f t="shared" si="8"/>
        <v>41798000</v>
      </c>
      <c r="DN43" s="68">
        <f t="shared" si="9"/>
        <v>125393000</v>
      </c>
      <c r="DO43" s="50">
        <v>0</v>
      </c>
      <c r="DP43" s="33">
        <f t="shared" si="10"/>
        <v>60.118662351672057</v>
      </c>
      <c r="DQ43" s="50">
        <v>6</v>
      </c>
      <c r="DR43" s="69">
        <f t="shared" si="17"/>
        <v>0</v>
      </c>
      <c r="DS43" s="49">
        <v>557.29999999999995</v>
      </c>
      <c r="DT43" s="68">
        <f t="shared" si="18"/>
        <v>16719000</v>
      </c>
      <c r="DU43" s="36">
        <v>557.29999999999995</v>
      </c>
      <c r="DV43" s="68">
        <f t="shared" si="19"/>
        <v>5573000</v>
      </c>
      <c r="DW43" s="69">
        <f t="shared" si="11"/>
        <v>189483000</v>
      </c>
      <c r="DX43" s="33">
        <f t="shared" si="12"/>
        <v>0</v>
      </c>
    </row>
    <row r="44" spans="1:128" s="51" customFormat="1" ht="23.25" customHeight="1">
      <c r="A44" s="40">
        <v>38</v>
      </c>
      <c r="B44" s="41" t="s">
        <v>231</v>
      </c>
      <c r="C44" s="45" t="s">
        <v>232</v>
      </c>
      <c r="D44" s="88" t="s">
        <v>425</v>
      </c>
      <c r="E44" s="43" t="s">
        <v>109</v>
      </c>
      <c r="F44" s="40" t="s">
        <v>104</v>
      </c>
      <c r="G44" s="40">
        <v>1299</v>
      </c>
      <c r="H44" s="40">
        <v>49</v>
      </c>
      <c r="I44" s="44">
        <v>388</v>
      </c>
      <c r="J44" s="45" t="s">
        <v>233</v>
      </c>
      <c r="K44" s="40">
        <v>1</v>
      </c>
      <c r="L44" s="40">
        <v>1</v>
      </c>
      <c r="M44" s="44">
        <f t="shared" si="0"/>
        <v>566</v>
      </c>
      <c r="N44" s="44"/>
      <c r="O44" s="44"/>
      <c r="P44" s="44">
        <f t="shared" si="23"/>
        <v>0</v>
      </c>
      <c r="Q44" s="44"/>
      <c r="R44" s="44">
        <f t="shared" si="21"/>
        <v>0</v>
      </c>
      <c r="S44" s="44"/>
      <c r="T44" s="44">
        <f t="shared" si="24"/>
        <v>178</v>
      </c>
      <c r="U44" s="44">
        <v>6</v>
      </c>
      <c r="V44" s="44">
        <v>172</v>
      </c>
      <c r="W44" s="44">
        <f t="shared" si="3"/>
        <v>388</v>
      </c>
      <c r="X44" s="29">
        <f t="shared" si="13"/>
        <v>560</v>
      </c>
      <c r="Y44" s="29">
        <f t="shared" si="14"/>
        <v>560</v>
      </c>
      <c r="Z44" s="44">
        <f t="shared" si="4"/>
        <v>560</v>
      </c>
      <c r="AA44" s="44"/>
      <c r="AB44" s="44"/>
      <c r="AC44" s="44"/>
      <c r="AD44" s="44"/>
      <c r="AE44" s="44"/>
      <c r="AF44" s="44"/>
      <c r="AG44" s="44"/>
      <c r="AH44" s="44"/>
      <c r="AI44" s="44"/>
      <c r="AJ44" s="44"/>
      <c r="AK44" s="44"/>
      <c r="AL44" s="44"/>
      <c r="AM44" s="44"/>
      <c r="AN44" s="44"/>
      <c r="AO44" s="44">
        <v>388</v>
      </c>
      <c r="AP44" s="44"/>
      <c r="AQ44" s="44"/>
      <c r="AR44" s="44"/>
      <c r="AS44" s="44"/>
      <c r="AT44" s="44"/>
      <c r="AU44" s="46"/>
      <c r="AV44" s="44"/>
      <c r="AW44" s="44"/>
      <c r="AX44" s="44"/>
      <c r="AY44" s="44"/>
      <c r="AZ44" s="44"/>
      <c r="BA44" s="44"/>
      <c r="BB44" s="44"/>
      <c r="BC44" s="44">
        <v>172</v>
      </c>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f t="shared" si="5"/>
        <v>0</v>
      </c>
      <c r="CW44" s="44">
        <f t="shared" si="6"/>
        <v>0</v>
      </c>
      <c r="CX44" s="31">
        <f t="shared" si="7"/>
        <v>388</v>
      </c>
      <c r="CY44" s="47">
        <v>0</v>
      </c>
      <c r="CZ44" s="31">
        <f t="shared" si="15"/>
        <v>0</v>
      </c>
      <c r="DA44" s="88" t="s">
        <v>404</v>
      </c>
      <c r="DB44" s="44">
        <v>388</v>
      </c>
      <c r="DC44" s="39"/>
      <c r="DD44" s="40"/>
      <c r="DE44" s="40"/>
      <c r="DF44" s="40"/>
      <c r="DG44" s="49"/>
      <c r="DH44" s="39" t="s">
        <v>425</v>
      </c>
      <c r="DI44" s="1" t="s">
        <v>508</v>
      </c>
      <c r="DJ44" s="2" t="s">
        <v>510</v>
      </c>
      <c r="DK44" s="49">
        <v>388</v>
      </c>
      <c r="DL44" s="71">
        <f t="shared" si="16"/>
        <v>1.0777777777777777</v>
      </c>
      <c r="DM44" s="68">
        <f t="shared" si="8"/>
        <v>29100000</v>
      </c>
      <c r="DN44" s="68">
        <f t="shared" si="9"/>
        <v>87300000</v>
      </c>
      <c r="DO44" s="50">
        <v>0</v>
      </c>
      <c r="DP44" s="33">
        <f t="shared" si="10"/>
        <v>100</v>
      </c>
      <c r="DQ44" s="50">
        <v>12</v>
      </c>
      <c r="DR44" s="69">
        <f t="shared" si="17"/>
        <v>0</v>
      </c>
      <c r="DS44" s="49">
        <v>388</v>
      </c>
      <c r="DT44" s="68">
        <f t="shared" si="18"/>
        <v>11640000</v>
      </c>
      <c r="DU44" s="36">
        <v>388</v>
      </c>
      <c r="DV44" s="68">
        <f t="shared" si="19"/>
        <v>3880000</v>
      </c>
      <c r="DW44" s="69">
        <f t="shared" si="11"/>
        <v>131920000</v>
      </c>
      <c r="DX44" s="33">
        <f t="shared" si="12"/>
        <v>0</v>
      </c>
    </row>
    <row r="45" spans="1:128" s="51" customFormat="1" ht="36.6" customHeight="1">
      <c r="A45" s="40">
        <v>39</v>
      </c>
      <c r="B45" s="41" t="s">
        <v>234</v>
      </c>
      <c r="C45" s="45" t="s">
        <v>235</v>
      </c>
      <c r="D45" s="39" t="s">
        <v>457</v>
      </c>
      <c r="E45" s="43" t="s">
        <v>109</v>
      </c>
      <c r="F45" s="40" t="s">
        <v>104</v>
      </c>
      <c r="G45" s="40">
        <v>1299</v>
      </c>
      <c r="H45" s="40">
        <v>49</v>
      </c>
      <c r="I45" s="44">
        <v>1098</v>
      </c>
      <c r="J45" s="45" t="s">
        <v>236</v>
      </c>
      <c r="K45" s="40">
        <v>3</v>
      </c>
      <c r="L45" s="40">
        <v>4</v>
      </c>
      <c r="M45" s="44">
        <f t="shared" si="0"/>
        <v>1778</v>
      </c>
      <c r="N45" s="44"/>
      <c r="O45" s="44"/>
      <c r="P45" s="44">
        <f t="shared" si="23"/>
        <v>0</v>
      </c>
      <c r="Q45" s="44"/>
      <c r="R45" s="44">
        <f t="shared" si="21"/>
        <v>0</v>
      </c>
      <c r="S45" s="44"/>
      <c r="T45" s="44">
        <f t="shared" si="24"/>
        <v>14</v>
      </c>
      <c r="U45" s="44">
        <v>14</v>
      </c>
      <c r="V45" s="44"/>
      <c r="W45" s="44">
        <f t="shared" si="3"/>
        <v>1764</v>
      </c>
      <c r="X45" s="29">
        <f t="shared" si="13"/>
        <v>1764</v>
      </c>
      <c r="Y45" s="29">
        <f t="shared" si="14"/>
        <v>1764</v>
      </c>
      <c r="Z45" s="44">
        <f t="shared" si="4"/>
        <v>1764</v>
      </c>
      <c r="AA45" s="44"/>
      <c r="AB45" s="44"/>
      <c r="AC45" s="44"/>
      <c r="AD45" s="44"/>
      <c r="AE45" s="44"/>
      <c r="AF45" s="44"/>
      <c r="AG45" s="44"/>
      <c r="AH45" s="44"/>
      <c r="AI45" s="44"/>
      <c r="AJ45" s="44"/>
      <c r="AK45" s="44"/>
      <c r="AL45" s="44"/>
      <c r="AM45" s="44"/>
      <c r="AN45" s="44"/>
      <c r="AO45" s="44">
        <v>1098</v>
      </c>
      <c r="AP45" s="44"/>
      <c r="AQ45" s="44"/>
      <c r="AR45" s="44"/>
      <c r="AS45" s="44">
        <v>367</v>
      </c>
      <c r="AT45" s="44"/>
      <c r="AU45" s="46"/>
      <c r="AV45" s="44"/>
      <c r="AW45" s="44"/>
      <c r="AX45" s="44"/>
      <c r="AY45" s="44"/>
      <c r="AZ45" s="44"/>
      <c r="BA45" s="44"/>
      <c r="BB45" s="44"/>
      <c r="BC45" s="44">
        <v>299</v>
      </c>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f t="shared" si="5"/>
        <v>0</v>
      </c>
      <c r="CW45" s="44">
        <f t="shared" si="6"/>
        <v>0</v>
      </c>
      <c r="CX45" s="31">
        <f t="shared" si="7"/>
        <v>1098</v>
      </c>
      <c r="CY45" s="47">
        <v>0</v>
      </c>
      <c r="CZ45" s="31">
        <f t="shared" si="15"/>
        <v>0</v>
      </c>
      <c r="DA45" s="88" t="s">
        <v>404</v>
      </c>
      <c r="DB45" s="44">
        <v>1098</v>
      </c>
      <c r="DC45" s="39"/>
      <c r="DD45" s="40"/>
      <c r="DE45" s="40"/>
      <c r="DF45" s="40"/>
      <c r="DG45" s="49"/>
      <c r="DH45" s="39" t="s">
        <v>457</v>
      </c>
      <c r="DI45" s="40"/>
      <c r="DJ45" s="40"/>
      <c r="DK45" s="49">
        <v>1098</v>
      </c>
      <c r="DL45" s="71">
        <f t="shared" si="16"/>
        <v>3.05</v>
      </c>
      <c r="DM45" s="68">
        <f t="shared" si="8"/>
        <v>82350000</v>
      </c>
      <c r="DN45" s="68">
        <f t="shared" si="9"/>
        <v>247050000</v>
      </c>
      <c r="DO45" s="50">
        <v>4</v>
      </c>
      <c r="DP45" s="33">
        <f t="shared" si="10"/>
        <v>62.244897959183675</v>
      </c>
      <c r="DQ45" s="50">
        <v>6</v>
      </c>
      <c r="DR45" s="69">
        <f t="shared" si="17"/>
        <v>12240000</v>
      </c>
      <c r="DS45" s="49">
        <v>1098</v>
      </c>
      <c r="DT45" s="68">
        <f t="shared" si="18"/>
        <v>32940000</v>
      </c>
      <c r="DU45" s="36">
        <v>1098</v>
      </c>
      <c r="DV45" s="68">
        <f t="shared" si="19"/>
        <v>10980000</v>
      </c>
      <c r="DW45" s="69">
        <f t="shared" si="11"/>
        <v>385560000</v>
      </c>
      <c r="DX45" s="33">
        <f t="shared" si="12"/>
        <v>0</v>
      </c>
    </row>
    <row r="46" spans="1:128" s="51" customFormat="1" ht="36.6" customHeight="1">
      <c r="A46" s="40">
        <v>40</v>
      </c>
      <c r="B46" s="41" t="s">
        <v>237</v>
      </c>
      <c r="C46" s="45" t="s">
        <v>238</v>
      </c>
      <c r="D46" s="39" t="s">
        <v>458</v>
      </c>
      <c r="E46" s="43" t="s">
        <v>109</v>
      </c>
      <c r="F46" s="40" t="s">
        <v>104</v>
      </c>
      <c r="G46" s="40">
        <v>1302</v>
      </c>
      <c r="H46" s="40">
        <v>49</v>
      </c>
      <c r="I46" s="44">
        <v>990</v>
      </c>
      <c r="J46" s="45" t="s">
        <v>239</v>
      </c>
      <c r="K46" s="40">
        <v>2</v>
      </c>
      <c r="L46" s="40">
        <v>3</v>
      </c>
      <c r="M46" s="44">
        <f t="shared" si="0"/>
        <v>1212</v>
      </c>
      <c r="N46" s="44"/>
      <c r="O46" s="44"/>
      <c r="P46" s="44">
        <f t="shared" si="23"/>
        <v>0</v>
      </c>
      <c r="Q46" s="44"/>
      <c r="R46" s="44">
        <f t="shared" si="21"/>
        <v>0</v>
      </c>
      <c r="S46" s="44"/>
      <c r="T46" s="44">
        <f t="shared" si="24"/>
        <v>122</v>
      </c>
      <c r="U46" s="44">
        <v>11</v>
      </c>
      <c r="V46" s="44">
        <v>111</v>
      </c>
      <c r="W46" s="44">
        <f t="shared" si="3"/>
        <v>1090</v>
      </c>
      <c r="X46" s="29">
        <f t="shared" si="13"/>
        <v>1201</v>
      </c>
      <c r="Y46" s="29">
        <f t="shared" si="14"/>
        <v>1201</v>
      </c>
      <c r="Z46" s="44">
        <f t="shared" si="4"/>
        <v>1201</v>
      </c>
      <c r="AA46" s="44"/>
      <c r="AB46" s="44"/>
      <c r="AC46" s="44"/>
      <c r="AD46" s="44"/>
      <c r="AE46" s="44"/>
      <c r="AF46" s="44"/>
      <c r="AG46" s="44"/>
      <c r="AH46" s="44"/>
      <c r="AI46" s="44"/>
      <c r="AJ46" s="44"/>
      <c r="AK46" s="44"/>
      <c r="AL46" s="44"/>
      <c r="AM46" s="44"/>
      <c r="AN46" s="44"/>
      <c r="AO46" s="44">
        <v>990</v>
      </c>
      <c r="AP46" s="44"/>
      <c r="AQ46" s="44"/>
      <c r="AR46" s="44"/>
      <c r="AS46" s="44"/>
      <c r="AT46" s="44"/>
      <c r="AU46" s="46"/>
      <c r="AV46" s="44"/>
      <c r="AW46" s="44"/>
      <c r="AX46" s="44"/>
      <c r="AY46" s="44"/>
      <c r="AZ46" s="44"/>
      <c r="BA46" s="44"/>
      <c r="BB46" s="44"/>
      <c r="BC46" s="44">
        <v>100</v>
      </c>
      <c r="BD46" s="44"/>
      <c r="BE46" s="44"/>
      <c r="BF46" s="44">
        <v>111</v>
      </c>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f t="shared" si="5"/>
        <v>0</v>
      </c>
      <c r="CW46" s="44">
        <f t="shared" si="6"/>
        <v>0</v>
      </c>
      <c r="CX46" s="31">
        <f t="shared" si="7"/>
        <v>990</v>
      </c>
      <c r="CY46" s="47">
        <v>0</v>
      </c>
      <c r="CZ46" s="31">
        <f t="shared" si="15"/>
        <v>0</v>
      </c>
      <c r="DA46" s="88" t="s">
        <v>404</v>
      </c>
      <c r="DB46" s="44">
        <v>990</v>
      </c>
      <c r="DC46" s="39"/>
      <c r="DD46" s="40"/>
      <c r="DE46" s="40"/>
      <c r="DF46" s="40"/>
      <c r="DG46" s="49"/>
      <c r="DH46" s="39" t="s">
        <v>458</v>
      </c>
      <c r="DI46" s="1" t="s">
        <v>508</v>
      </c>
      <c r="DJ46" s="2" t="s">
        <v>510</v>
      </c>
      <c r="DK46" s="49">
        <v>990</v>
      </c>
      <c r="DL46" s="71">
        <f t="shared" si="16"/>
        <v>2.75</v>
      </c>
      <c r="DM46" s="68">
        <f t="shared" si="8"/>
        <v>74250000</v>
      </c>
      <c r="DN46" s="68">
        <f t="shared" si="9"/>
        <v>222750000</v>
      </c>
      <c r="DO46" s="50">
        <v>3</v>
      </c>
      <c r="DP46" s="33">
        <f t="shared" si="10"/>
        <v>90.825688073394488</v>
      </c>
      <c r="DQ46" s="50">
        <v>12</v>
      </c>
      <c r="DR46" s="69">
        <f t="shared" si="17"/>
        <v>18360000</v>
      </c>
      <c r="DS46" s="49">
        <v>990</v>
      </c>
      <c r="DT46" s="68">
        <f t="shared" si="18"/>
        <v>29700000</v>
      </c>
      <c r="DU46" s="36">
        <v>990</v>
      </c>
      <c r="DV46" s="68">
        <f t="shared" si="19"/>
        <v>9900000</v>
      </c>
      <c r="DW46" s="69">
        <f t="shared" si="11"/>
        <v>354960000</v>
      </c>
      <c r="DX46" s="33">
        <f t="shared" si="12"/>
        <v>0</v>
      </c>
    </row>
    <row r="47" spans="1:128" s="51" customFormat="1" ht="36.6" customHeight="1">
      <c r="A47" s="40">
        <v>41</v>
      </c>
      <c r="B47" s="41" t="s">
        <v>240</v>
      </c>
      <c r="C47" s="45" t="s">
        <v>241</v>
      </c>
      <c r="D47" s="45" t="s">
        <v>459</v>
      </c>
      <c r="E47" s="43" t="s">
        <v>109</v>
      </c>
      <c r="F47" s="40" t="s">
        <v>104</v>
      </c>
      <c r="G47" s="40">
        <v>1303</v>
      </c>
      <c r="H47" s="40">
        <v>49</v>
      </c>
      <c r="I47" s="44">
        <v>608.20000000000005</v>
      </c>
      <c r="J47" s="56" t="s">
        <v>242</v>
      </c>
      <c r="K47" s="40">
        <v>3</v>
      </c>
      <c r="L47" s="40">
        <v>5</v>
      </c>
      <c r="M47" s="44">
        <f t="shared" si="0"/>
        <v>1858</v>
      </c>
      <c r="N47" s="44"/>
      <c r="O47" s="44"/>
      <c r="P47" s="44">
        <f t="shared" si="23"/>
        <v>0</v>
      </c>
      <c r="Q47" s="44"/>
      <c r="R47" s="44">
        <f t="shared" si="21"/>
        <v>170</v>
      </c>
      <c r="S47" s="44">
        <v>85</v>
      </c>
      <c r="T47" s="44">
        <f t="shared" si="24"/>
        <v>80.400000000000006</v>
      </c>
      <c r="U47" s="44">
        <v>5</v>
      </c>
      <c r="V47" s="44">
        <v>75.400000000000006</v>
      </c>
      <c r="W47" s="44">
        <f t="shared" si="3"/>
        <v>1862.6</v>
      </c>
      <c r="X47" s="29">
        <f t="shared" si="13"/>
        <v>1768</v>
      </c>
      <c r="Y47" s="29">
        <f t="shared" si="14"/>
        <v>1768</v>
      </c>
      <c r="Z47" s="44">
        <f t="shared" si="4"/>
        <v>1938</v>
      </c>
      <c r="AA47" s="44"/>
      <c r="AB47" s="44"/>
      <c r="AC47" s="44"/>
      <c r="AD47" s="44"/>
      <c r="AE47" s="44"/>
      <c r="AF47" s="44"/>
      <c r="AG47" s="44"/>
      <c r="AH47" s="44"/>
      <c r="AI47" s="44"/>
      <c r="AJ47" s="44"/>
      <c r="AK47" s="44"/>
      <c r="AL47" s="44"/>
      <c r="AM47" s="44"/>
      <c r="AN47" s="44"/>
      <c r="AO47" s="44">
        <v>608</v>
      </c>
      <c r="AP47" s="44"/>
      <c r="AQ47" s="44"/>
      <c r="AR47" s="44"/>
      <c r="AS47" s="44"/>
      <c r="AT47" s="44"/>
      <c r="AU47" s="46"/>
      <c r="AV47" s="44"/>
      <c r="AW47" s="44"/>
      <c r="AX47" s="44"/>
      <c r="AY47" s="44"/>
      <c r="AZ47" s="44"/>
      <c r="BA47" s="44"/>
      <c r="BB47" s="44">
        <f>390</f>
        <v>390</v>
      </c>
      <c r="BC47" s="44"/>
      <c r="BD47" s="44">
        <f>459+383-72</f>
        <v>770</v>
      </c>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f t="shared" si="5"/>
        <v>0</v>
      </c>
      <c r="CW47" s="44">
        <f t="shared" si="6"/>
        <v>170</v>
      </c>
      <c r="CX47" s="31">
        <f t="shared" si="7"/>
        <v>608.20000000000005</v>
      </c>
      <c r="CY47" s="47">
        <v>0</v>
      </c>
      <c r="CZ47" s="31">
        <f t="shared" si="15"/>
        <v>0</v>
      </c>
      <c r="DA47" s="88" t="s">
        <v>404</v>
      </c>
      <c r="DB47" s="44">
        <v>608</v>
      </c>
      <c r="DC47" s="39"/>
      <c r="DD47" s="40"/>
      <c r="DE47" s="40"/>
      <c r="DF47" s="40"/>
      <c r="DG47" s="49"/>
      <c r="DH47" s="39" t="s">
        <v>459</v>
      </c>
      <c r="DI47" s="1" t="s">
        <v>508</v>
      </c>
      <c r="DJ47" s="2" t="s">
        <v>510</v>
      </c>
      <c r="DK47" s="49">
        <v>608.20000000000005</v>
      </c>
      <c r="DL47" s="71">
        <f t="shared" si="16"/>
        <v>1.6894444444444445</v>
      </c>
      <c r="DM47" s="68">
        <f t="shared" si="8"/>
        <v>45615000</v>
      </c>
      <c r="DN47" s="68">
        <f t="shared" si="9"/>
        <v>136845000</v>
      </c>
      <c r="DO47" s="50">
        <v>6</v>
      </c>
      <c r="DP47" s="33">
        <f t="shared" si="10"/>
        <v>32.653280360785999</v>
      </c>
      <c r="DQ47" s="50">
        <v>6</v>
      </c>
      <c r="DR47" s="69">
        <f t="shared" si="17"/>
        <v>18360000</v>
      </c>
      <c r="DS47" s="49">
        <v>608.20000000000005</v>
      </c>
      <c r="DT47" s="68">
        <f t="shared" si="18"/>
        <v>18246000</v>
      </c>
      <c r="DU47" s="36">
        <v>608.20000000000005</v>
      </c>
      <c r="DV47" s="68">
        <f t="shared" si="19"/>
        <v>6082000</v>
      </c>
      <c r="DW47" s="69">
        <f t="shared" si="11"/>
        <v>225148000</v>
      </c>
      <c r="DX47" s="33">
        <f t="shared" si="12"/>
        <v>0</v>
      </c>
    </row>
    <row r="48" spans="1:128" s="51" customFormat="1" ht="36.6" customHeight="1">
      <c r="A48" s="40">
        <v>42</v>
      </c>
      <c r="B48" s="41" t="s">
        <v>243</v>
      </c>
      <c r="C48" s="45" t="s">
        <v>244</v>
      </c>
      <c r="D48" s="88" t="s">
        <v>460</v>
      </c>
      <c r="E48" s="43" t="s">
        <v>109</v>
      </c>
      <c r="F48" s="40" t="s">
        <v>104</v>
      </c>
      <c r="G48" s="40">
        <v>1304</v>
      </c>
      <c r="H48" s="40">
        <v>49</v>
      </c>
      <c r="I48" s="44">
        <v>1070.0999999999999</v>
      </c>
      <c r="J48" s="56" t="s">
        <v>245</v>
      </c>
      <c r="K48" s="40">
        <v>3</v>
      </c>
      <c r="L48" s="40">
        <v>3</v>
      </c>
      <c r="M48" s="44">
        <f t="shared" si="0"/>
        <v>1698</v>
      </c>
      <c r="N48" s="44"/>
      <c r="O48" s="44"/>
      <c r="P48" s="44">
        <f t="shared" si="23"/>
        <v>220</v>
      </c>
      <c r="Q48" s="44">
        <v>55</v>
      </c>
      <c r="R48" s="44">
        <f t="shared" si="21"/>
        <v>0</v>
      </c>
      <c r="S48" s="44"/>
      <c r="T48" s="44">
        <f t="shared" si="24"/>
        <v>66</v>
      </c>
      <c r="U48" s="44">
        <v>15</v>
      </c>
      <c r="V48" s="44">
        <v>51</v>
      </c>
      <c r="W48" s="44">
        <f t="shared" si="3"/>
        <v>1797</v>
      </c>
      <c r="X48" s="29">
        <f t="shared" si="13"/>
        <v>1628</v>
      </c>
      <c r="Y48" s="29">
        <f t="shared" si="14"/>
        <v>1628</v>
      </c>
      <c r="Z48" s="44">
        <f t="shared" si="4"/>
        <v>1848</v>
      </c>
      <c r="AA48" s="44"/>
      <c r="AB48" s="44"/>
      <c r="AC48" s="44"/>
      <c r="AD48" s="44"/>
      <c r="AE48" s="44"/>
      <c r="AF48" s="44"/>
      <c r="AG48" s="44"/>
      <c r="AH48" s="44"/>
      <c r="AI48" s="44"/>
      <c r="AJ48" s="44"/>
      <c r="AK48" s="44"/>
      <c r="AL48" s="44"/>
      <c r="AM48" s="44"/>
      <c r="AN48" s="44">
        <v>235</v>
      </c>
      <c r="AO48" s="44">
        <v>1070</v>
      </c>
      <c r="AP48" s="44"/>
      <c r="AQ48" s="44"/>
      <c r="AR48" s="44"/>
      <c r="AS48" s="44"/>
      <c r="AT48" s="44"/>
      <c r="AU48" s="46">
        <v>51</v>
      </c>
      <c r="AV48" s="44"/>
      <c r="AW48" s="44"/>
      <c r="AX48" s="44"/>
      <c r="AY48" s="44"/>
      <c r="AZ48" s="44"/>
      <c r="BA48" s="44"/>
      <c r="BB48" s="44"/>
      <c r="BC48" s="44">
        <v>272</v>
      </c>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f t="shared" si="5"/>
        <v>220</v>
      </c>
      <c r="CW48" s="44">
        <f t="shared" si="6"/>
        <v>0</v>
      </c>
      <c r="CX48" s="31">
        <f t="shared" si="7"/>
        <v>1070.0999999999999</v>
      </c>
      <c r="CY48" s="47">
        <v>0</v>
      </c>
      <c r="CZ48" s="31">
        <f t="shared" si="15"/>
        <v>0</v>
      </c>
      <c r="DA48" s="88" t="s">
        <v>404</v>
      </c>
      <c r="DB48" s="44">
        <v>1070</v>
      </c>
      <c r="DC48" s="39"/>
      <c r="DD48" s="40"/>
      <c r="DE48" s="40"/>
      <c r="DF48" s="40"/>
      <c r="DG48" s="49"/>
      <c r="DH48" s="45" t="s">
        <v>460</v>
      </c>
      <c r="DI48" s="1" t="s">
        <v>508</v>
      </c>
      <c r="DJ48" s="2" t="s">
        <v>510</v>
      </c>
      <c r="DK48" s="49">
        <v>1070.0999999999999</v>
      </c>
      <c r="DL48" s="71">
        <f t="shared" si="16"/>
        <v>2.9724999999999997</v>
      </c>
      <c r="DM48" s="68">
        <f t="shared" si="8"/>
        <v>80258000</v>
      </c>
      <c r="DN48" s="68">
        <f t="shared" si="9"/>
        <v>240773000</v>
      </c>
      <c r="DO48" s="50">
        <v>2</v>
      </c>
      <c r="DP48" s="33">
        <f t="shared" si="10"/>
        <v>59.549248747913182</v>
      </c>
      <c r="DQ48" s="50">
        <v>6</v>
      </c>
      <c r="DR48" s="69">
        <f t="shared" si="17"/>
        <v>6120000</v>
      </c>
      <c r="DS48" s="49">
        <v>1070.0999999999999</v>
      </c>
      <c r="DT48" s="68">
        <f t="shared" si="18"/>
        <v>32103000</v>
      </c>
      <c r="DU48" s="36">
        <v>1070.0999999999999</v>
      </c>
      <c r="DV48" s="68">
        <f t="shared" si="19"/>
        <v>10701000</v>
      </c>
      <c r="DW48" s="69">
        <f t="shared" si="11"/>
        <v>369955000</v>
      </c>
      <c r="DX48" s="33">
        <f t="shared" si="12"/>
        <v>0</v>
      </c>
    </row>
    <row r="49" spans="1:128" s="51" customFormat="1" ht="36.6" customHeight="1">
      <c r="A49" s="40">
        <v>43</v>
      </c>
      <c r="B49" s="41" t="s">
        <v>246</v>
      </c>
      <c r="C49" s="45" t="s">
        <v>247</v>
      </c>
      <c r="D49" s="39" t="s">
        <v>461</v>
      </c>
      <c r="E49" s="43" t="s">
        <v>109</v>
      </c>
      <c r="F49" s="40" t="s">
        <v>104</v>
      </c>
      <c r="G49" s="40">
        <v>1306</v>
      </c>
      <c r="H49" s="40">
        <v>49</v>
      </c>
      <c r="I49" s="44">
        <v>1396.3</v>
      </c>
      <c r="J49" s="56" t="s">
        <v>248</v>
      </c>
      <c r="K49" s="40">
        <v>4</v>
      </c>
      <c r="L49" s="40">
        <v>4</v>
      </c>
      <c r="M49" s="44">
        <f t="shared" si="0"/>
        <v>2264</v>
      </c>
      <c r="N49" s="44"/>
      <c r="O49" s="44"/>
      <c r="P49" s="44">
        <f t="shared" si="23"/>
        <v>0</v>
      </c>
      <c r="Q49" s="44"/>
      <c r="R49" s="44">
        <f t="shared" si="21"/>
        <v>28</v>
      </c>
      <c r="S49" s="44">
        <v>14</v>
      </c>
      <c r="T49" s="44">
        <f t="shared" si="24"/>
        <v>107</v>
      </c>
      <c r="U49" s="44">
        <v>17</v>
      </c>
      <c r="V49" s="44">
        <v>90</v>
      </c>
      <c r="W49" s="44">
        <f t="shared" si="3"/>
        <v>2171</v>
      </c>
      <c r="X49" s="29">
        <f t="shared" si="13"/>
        <v>2233</v>
      </c>
      <c r="Y49" s="29">
        <f t="shared" si="14"/>
        <v>2233</v>
      </c>
      <c r="Z49" s="44">
        <f t="shared" si="4"/>
        <v>2261</v>
      </c>
      <c r="AA49" s="44"/>
      <c r="AB49" s="44"/>
      <c r="AC49" s="44"/>
      <c r="AD49" s="44"/>
      <c r="AE49" s="44"/>
      <c r="AF49" s="44"/>
      <c r="AG49" s="44"/>
      <c r="AH49" s="44"/>
      <c r="AI49" s="44"/>
      <c r="AJ49" s="44"/>
      <c r="AK49" s="44"/>
      <c r="AL49" s="44"/>
      <c r="AM49" s="44"/>
      <c r="AN49" s="44"/>
      <c r="AO49" s="44">
        <v>1396</v>
      </c>
      <c r="AP49" s="44"/>
      <c r="AQ49" s="44"/>
      <c r="AR49" s="44"/>
      <c r="AS49" s="44"/>
      <c r="AT49" s="44"/>
      <c r="AU49" s="46"/>
      <c r="AV49" s="44"/>
      <c r="AW49" s="44"/>
      <c r="AX49" s="44"/>
      <c r="AY49" s="44"/>
      <c r="AZ49" s="44"/>
      <c r="BA49" s="44"/>
      <c r="BB49" s="44"/>
      <c r="BC49" s="44"/>
      <c r="BD49" s="44">
        <v>747</v>
      </c>
      <c r="BE49" s="44"/>
      <c r="BF49" s="44"/>
      <c r="BG49" s="44">
        <v>90</v>
      </c>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f t="shared" si="5"/>
        <v>0</v>
      </c>
      <c r="CW49" s="44">
        <f t="shared" si="6"/>
        <v>28</v>
      </c>
      <c r="CX49" s="31">
        <f t="shared" si="7"/>
        <v>1396.3000000000002</v>
      </c>
      <c r="CY49" s="47">
        <v>0</v>
      </c>
      <c r="CZ49" s="31">
        <f t="shared" si="15"/>
        <v>0</v>
      </c>
      <c r="DA49" s="88" t="s">
        <v>404</v>
      </c>
      <c r="DB49" s="44">
        <v>1396</v>
      </c>
      <c r="DC49" s="39"/>
      <c r="DD49" s="40"/>
      <c r="DE49" s="40"/>
      <c r="DF49" s="40"/>
      <c r="DG49" s="49"/>
      <c r="DH49" s="39" t="s">
        <v>461</v>
      </c>
      <c r="DI49" s="1" t="s">
        <v>508</v>
      </c>
      <c r="DJ49" s="2" t="s">
        <v>510</v>
      </c>
      <c r="DK49" s="49">
        <v>1396.3000000000002</v>
      </c>
      <c r="DL49" s="71">
        <f t="shared" si="16"/>
        <v>3.8786111111111117</v>
      </c>
      <c r="DM49" s="68">
        <f t="shared" si="8"/>
        <v>104723000</v>
      </c>
      <c r="DN49" s="68">
        <f t="shared" si="9"/>
        <v>314168000</v>
      </c>
      <c r="DO49" s="50">
        <v>4</v>
      </c>
      <c r="DP49" s="33">
        <f t="shared" si="10"/>
        <v>64.315983417779833</v>
      </c>
      <c r="DQ49" s="50">
        <v>6</v>
      </c>
      <c r="DR49" s="69">
        <f t="shared" si="17"/>
        <v>12240000</v>
      </c>
      <c r="DS49" s="49">
        <v>1396.3000000000002</v>
      </c>
      <c r="DT49" s="68">
        <f t="shared" si="18"/>
        <v>41889000</v>
      </c>
      <c r="DU49" s="36">
        <v>1396.3000000000002</v>
      </c>
      <c r="DV49" s="68">
        <f t="shared" si="19"/>
        <v>13963000</v>
      </c>
      <c r="DW49" s="69">
        <f t="shared" si="11"/>
        <v>486983000</v>
      </c>
      <c r="DX49" s="33">
        <f t="shared" si="12"/>
        <v>0</v>
      </c>
    </row>
    <row r="50" spans="1:128" s="51" customFormat="1" ht="24.75" customHeight="1">
      <c r="A50" s="40">
        <v>44</v>
      </c>
      <c r="B50" s="41" t="s">
        <v>249</v>
      </c>
      <c r="C50" s="45" t="s">
        <v>250</v>
      </c>
      <c r="D50" s="88" t="s">
        <v>426</v>
      </c>
      <c r="E50" s="43" t="s">
        <v>109</v>
      </c>
      <c r="F50" s="40" t="s">
        <v>104</v>
      </c>
      <c r="G50" s="40">
        <v>1308</v>
      </c>
      <c r="H50" s="40">
        <v>49</v>
      </c>
      <c r="I50" s="44">
        <f>0.6+959.5</f>
        <v>960.1</v>
      </c>
      <c r="J50" s="56" t="s">
        <v>251</v>
      </c>
      <c r="K50" s="40">
        <v>2</v>
      </c>
      <c r="L50" s="40">
        <v>3</v>
      </c>
      <c r="M50" s="44">
        <f t="shared" si="0"/>
        <v>1212</v>
      </c>
      <c r="N50" s="44"/>
      <c r="O50" s="44"/>
      <c r="P50" s="44">
        <f t="shared" si="23"/>
        <v>170</v>
      </c>
      <c r="Q50" s="44">
        <v>42.5</v>
      </c>
      <c r="R50" s="44">
        <f t="shared" si="21"/>
        <v>20</v>
      </c>
      <c r="S50" s="44">
        <v>10</v>
      </c>
      <c r="T50" s="44">
        <f t="shared" si="24"/>
        <v>200</v>
      </c>
      <c r="U50" s="44">
        <v>13</v>
      </c>
      <c r="V50" s="44">
        <v>187</v>
      </c>
      <c r="W50" s="44">
        <f t="shared" si="3"/>
        <v>1149.5</v>
      </c>
      <c r="X50" s="29">
        <f t="shared" si="13"/>
        <v>1146.5</v>
      </c>
      <c r="Y50" s="29">
        <f t="shared" si="14"/>
        <v>1146.5</v>
      </c>
      <c r="Z50" s="44">
        <f t="shared" si="4"/>
        <v>1336.5</v>
      </c>
      <c r="AA50" s="44"/>
      <c r="AB50" s="44"/>
      <c r="AC50" s="44"/>
      <c r="AD50" s="44"/>
      <c r="AE50" s="44"/>
      <c r="AF50" s="44"/>
      <c r="AG50" s="44"/>
      <c r="AH50" s="44"/>
      <c r="AI50" s="44"/>
      <c r="AJ50" s="44"/>
      <c r="AK50" s="44"/>
      <c r="AL50" s="44"/>
      <c r="AM50" s="44"/>
      <c r="AN50" s="44"/>
      <c r="AO50" s="44">
        <v>959.5</v>
      </c>
      <c r="AP50" s="44"/>
      <c r="AQ50" s="44"/>
      <c r="AR50" s="44"/>
      <c r="AS50" s="44"/>
      <c r="AT50" s="44"/>
      <c r="AU50" s="46"/>
      <c r="AV50" s="44"/>
      <c r="AW50" s="44"/>
      <c r="AX50" s="44"/>
      <c r="AY50" s="44"/>
      <c r="AZ50" s="44"/>
      <c r="BA50" s="44"/>
      <c r="BB50" s="44"/>
      <c r="BC50" s="44"/>
      <c r="BD50" s="44"/>
      <c r="BE50" s="44"/>
      <c r="BF50" s="44">
        <v>187</v>
      </c>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f t="shared" si="5"/>
        <v>170</v>
      </c>
      <c r="CW50" s="44">
        <f t="shared" si="6"/>
        <v>20</v>
      </c>
      <c r="CX50" s="31">
        <f t="shared" si="7"/>
        <v>960.1</v>
      </c>
      <c r="CY50" s="47">
        <v>0.6</v>
      </c>
      <c r="CZ50" s="31">
        <f t="shared" si="15"/>
        <v>0</v>
      </c>
      <c r="DA50" s="88" t="s">
        <v>404</v>
      </c>
      <c r="DB50" s="44">
        <v>959.5</v>
      </c>
      <c r="DC50" s="39"/>
      <c r="DD50" s="40"/>
      <c r="DE50" s="40"/>
      <c r="DF50" s="40"/>
      <c r="DG50" s="49"/>
      <c r="DH50" s="45" t="s">
        <v>426</v>
      </c>
      <c r="DI50" s="1" t="s">
        <v>508</v>
      </c>
      <c r="DJ50" s="2" t="s">
        <v>510</v>
      </c>
      <c r="DK50" s="49">
        <v>959.5</v>
      </c>
      <c r="DL50" s="71">
        <f t="shared" si="16"/>
        <v>2.6652777777777779</v>
      </c>
      <c r="DM50" s="68">
        <f t="shared" si="8"/>
        <v>71963000</v>
      </c>
      <c r="DN50" s="68">
        <f t="shared" si="9"/>
        <v>215888000</v>
      </c>
      <c r="DO50" s="50">
        <v>2</v>
      </c>
      <c r="DP50" s="33">
        <f t="shared" si="10"/>
        <v>83.471074380165291</v>
      </c>
      <c r="DQ50" s="50">
        <v>12</v>
      </c>
      <c r="DR50" s="69">
        <f t="shared" si="17"/>
        <v>12240000</v>
      </c>
      <c r="DS50" s="49">
        <v>959.5</v>
      </c>
      <c r="DT50" s="68">
        <f t="shared" si="18"/>
        <v>28785000</v>
      </c>
      <c r="DU50" s="36">
        <f>0.6+959.5</f>
        <v>960.1</v>
      </c>
      <c r="DV50" s="68">
        <f t="shared" si="19"/>
        <v>9595000</v>
      </c>
      <c r="DW50" s="69">
        <f t="shared" si="11"/>
        <v>338471000</v>
      </c>
      <c r="DX50" s="33">
        <f t="shared" si="12"/>
        <v>0</v>
      </c>
    </row>
    <row r="51" spans="1:128" s="51" customFormat="1" ht="22.5" customHeight="1">
      <c r="A51" s="40">
        <v>45</v>
      </c>
      <c r="B51" s="41" t="s">
        <v>252</v>
      </c>
      <c r="C51" s="56" t="s">
        <v>253</v>
      </c>
      <c r="D51" s="39" t="s">
        <v>462</v>
      </c>
      <c r="E51" s="43" t="s">
        <v>109</v>
      </c>
      <c r="F51" s="40" t="s">
        <v>104</v>
      </c>
      <c r="G51" s="40">
        <v>1309</v>
      </c>
      <c r="H51" s="40">
        <v>49</v>
      </c>
      <c r="I51" s="44">
        <v>1357.4</v>
      </c>
      <c r="J51" s="56" t="s">
        <v>254</v>
      </c>
      <c r="K51" s="40">
        <v>3</v>
      </c>
      <c r="L51" s="40">
        <v>3</v>
      </c>
      <c r="M51" s="44">
        <f t="shared" si="0"/>
        <v>1698</v>
      </c>
      <c r="N51" s="44"/>
      <c r="O51" s="44"/>
      <c r="P51" s="44">
        <f>Q51*4</f>
        <v>0</v>
      </c>
      <c r="Q51" s="44"/>
      <c r="R51" s="44">
        <f t="shared" si="21"/>
        <v>0</v>
      </c>
      <c r="S51" s="44"/>
      <c r="T51" s="44">
        <f t="shared" si="24"/>
        <v>18</v>
      </c>
      <c r="U51" s="44">
        <v>18</v>
      </c>
      <c r="V51" s="44"/>
      <c r="W51" s="44">
        <f t="shared" si="3"/>
        <v>1680</v>
      </c>
      <c r="X51" s="29">
        <f t="shared" si="13"/>
        <v>1680</v>
      </c>
      <c r="Y51" s="29">
        <f t="shared" si="14"/>
        <v>1680</v>
      </c>
      <c r="Z51" s="44">
        <f t="shared" si="4"/>
        <v>1680</v>
      </c>
      <c r="AA51" s="44"/>
      <c r="AB51" s="44"/>
      <c r="AC51" s="44"/>
      <c r="AD51" s="44"/>
      <c r="AE51" s="44"/>
      <c r="AF51" s="44"/>
      <c r="AG51" s="44"/>
      <c r="AH51" s="44"/>
      <c r="AI51" s="44"/>
      <c r="AJ51" s="44"/>
      <c r="AK51" s="44"/>
      <c r="AL51" s="44"/>
      <c r="AM51" s="44"/>
      <c r="AN51" s="44"/>
      <c r="AO51" s="44">
        <v>1357</v>
      </c>
      <c r="AP51" s="44"/>
      <c r="AQ51" s="44"/>
      <c r="AR51" s="44"/>
      <c r="AS51" s="44"/>
      <c r="AT51" s="44"/>
      <c r="AU51" s="46"/>
      <c r="AV51" s="44"/>
      <c r="AW51" s="44"/>
      <c r="AX51" s="44"/>
      <c r="AY51" s="44"/>
      <c r="AZ51" s="44"/>
      <c r="BA51" s="44"/>
      <c r="BB51" s="44"/>
      <c r="BC51" s="44"/>
      <c r="BD51" s="44">
        <f>176+141+6</f>
        <v>323</v>
      </c>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f t="shared" si="5"/>
        <v>0</v>
      </c>
      <c r="CW51" s="44">
        <f t="shared" si="6"/>
        <v>0</v>
      </c>
      <c r="CX51" s="31">
        <f t="shared" si="7"/>
        <v>1357.4</v>
      </c>
      <c r="CY51" s="47">
        <v>0</v>
      </c>
      <c r="CZ51" s="31">
        <f t="shared" si="15"/>
        <v>0</v>
      </c>
      <c r="DA51" s="88" t="s">
        <v>404</v>
      </c>
      <c r="DB51" s="44">
        <v>1357</v>
      </c>
      <c r="DC51" s="39"/>
      <c r="DD51" s="40"/>
      <c r="DE51" s="40"/>
      <c r="DF51" s="40"/>
      <c r="DG51" s="49"/>
      <c r="DH51" s="39" t="s">
        <v>253</v>
      </c>
      <c r="DI51" s="1" t="s">
        <v>508</v>
      </c>
      <c r="DJ51" s="2" t="s">
        <v>510</v>
      </c>
      <c r="DK51" s="49">
        <v>1357.4</v>
      </c>
      <c r="DL51" s="71">
        <f t="shared" si="16"/>
        <v>3.7705555555555557</v>
      </c>
      <c r="DM51" s="68">
        <f t="shared" si="8"/>
        <v>101805000</v>
      </c>
      <c r="DN51" s="68">
        <f t="shared" si="9"/>
        <v>305415000</v>
      </c>
      <c r="DO51" s="50">
        <v>3</v>
      </c>
      <c r="DP51" s="33">
        <f t="shared" si="10"/>
        <v>80.797619047619051</v>
      </c>
      <c r="DQ51" s="50">
        <v>12</v>
      </c>
      <c r="DR51" s="69">
        <f t="shared" si="17"/>
        <v>18360000</v>
      </c>
      <c r="DS51" s="49">
        <v>1357.4</v>
      </c>
      <c r="DT51" s="68">
        <f t="shared" si="18"/>
        <v>40722000</v>
      </c>
      <c r="DU51" s="36">
        <v>1357.4</v>
      </c>
      <c r="DV51" s="68">
        <f t="shared" si="19"/>
        <v>13574000</v>
      </c>
      <c r="DW51" s="69">
        <f t="shared" si="11"/>
        <v>479876000</v>
      </c>
      <c r="DX51" s="33">
        <f t="shared" si="12"/>
        <v>0</v>
      </c>
    </row>
    <row r="52" spans="1:128" s="51" customFormat="1" ht="28.5" customHeight="1">
      <c r="A52" s="40">
        <v>46</v>
      </c>
      <c r="B52" s="41" t="s">
        <v>255</v>
      </c>
      <c r="C52" s="56" t="s">
        <v>256</v>
      </c>
      <c r="D52" s="39" t="s">
        <v>427</v>
      </c>
      <c r="E52" s="43" t="s">
        <v>109</v>
      </c>
      <c r="F52" s="40" t="s">
        <v>104</v>
      </c>
      <c r="G52" s="40">
        <v>1312</v>
      </c>
      <c r="H52" s="40">
        <v>49</v>
      </c>
      <c r="I52" s="44">
        <f>0.6+1037.5</f>
        <v>1038.0999999999999</v>
      </c>
      <c r="J52" s="56" t="s">
        <v>256</v>
      </c>
      <c r="K52" s="40">
        <v>3</v>
      </c>
      <c r="L52" s="40">
        <v>3</v>
      </c>
      <c r="M52" s="44">
        <f t="shared" si="0"/>
        <v>1698</v>
      </c>
      <c r="N52" s="44"/>
      <c r="O52" s="44"/>
      <c r="P52" s="44">
        <f>Q52*4</f>
        <v>90</v>
      </c>
      <c r="Q52" s="44">
        <v>22.5</v>
      </c>
      <c r="R52" s="44">
        <f t="shared" si="21"/>
        <v>80</v>
      </c>
      <c r="S52" s="44">
        <v>40</v>
      </c>
      <c r="T52" s="44">
        <f t="shared" si="24"/>
        <v>598</v>
      </c>
      <c r="U52" s="44">
        <v>13</v>
      </c>
      <c r="V52" s="44">
        <f>37+548</f>
        <v>585</v>
      </c>
      <c r="W52" s="44">
        <f t="shared" si="3"/>
        <v>1207.5</v>
      </c>
      <c r="X52" s="29">
        <f t="shared" si="13"/>
        <v>1622.5</v>
      </c>
      <c r="Y52" s="29">
        <f t="shared" si="14"/>
        <v>1622.5</v>
      </c>
      <c r="Z52" s="44">
        <f t="shared" si="4"/>
        <v>1792.5</v>
      </c>
      <c r="AA52" s="44"/>
      <c r="AB52" s="44"/>
      <c r="AC52" s="44"/>
      <c r="AD52" s="44"/>
      <c r="AE52" s="44"/>
      <c r="AF52" s="44"/>
      <c r="AG52" s="44"/>
      <c r="AH52" s="44"/>
      <c r="AI52" s="44"/>
      <c r="AJ52" s="44"/>
      <c r="AK52" s="44"/>
      <c r="AL52" s="44"/>
      <c r="AM52" s="44"/>
      <c r="AN52" s="44"/>
      <c r="AO52" s="44">
        <v>1037.5</v>
      </c>
      <c r="AP52" s="44"/>
      <c r="AQ52" s="44"/>
      <c r="AR52" s="44"/>
      <c r="AS52" s="44"/>
      <c r="AT52" s="44"/>
      <c r="AU52" s="46"/>
      <c r="AV52" s="44"/>
      <c r="AW52" s="44"/>
      <c r="AX52" s="44"/>
      <c r="AY52" s="44"/>
      <c r="AZ52" s="44"/>
      <c r="BA52" s="44"/>
      <c r="BB52" s="44"/>
      <c r="BC52" s="44">
        <v>548</v>
      </c>
      <c r="BD52" s="44"/>
      <c r="BE52" s="44"/>
      <c r="BF52" s="44"/>
      <c r="BG52" s="44">
        <v>37</v>
      </c>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f t="shared" si="5"/>
        <v>90</v>
      </c>
      <c r="CW52" s="44">
        <f t="shared" si="6"/>
        <v>80</v>
      </c>
      <c r="CX52" s="31">
        <f t="shared" si="7"/>
        <v>1038.0999999999999</v>
      </c>
      <c r="CY52" s="47">
        <v>0.6</v>
      </c>
      <c r="CZ52" s="31">
        <f t="shared" si="15"/>
        <v>0</v>
      </c>
      <c r="DA52" s="88" t="s">
        <v>404</v>
      </c>
      <c r="DB52" s="44">
        <v>1037.5</v>
      </c>
      <c r="DC52" s="39"/>
      <c r="DD52" s="40"/>
      <c r="DE52" s="40"/>
      <c r="DF52" s="40"/>
      <c r="DG52" s="49"/>
      <c r="DH52" s="39" t="s">
        <v>427</v>
      </c>
      <c r="DI52" s="1" t="s">
        <v>508</v>
      </c>
      <c r="DJ52" s="2" t="s">
        <v>510</v>
      </c>
      <c r="DK52" s="49">
        <v>1037.5</v>
      </c>
      <c r="DL52" s="71">
        <f t="shared" si="16"/>
        <v>2.8819444444444446</v>
      </c>
      <c r="DM52" s="68">
        <f t="shared" si="8"/>
        <v>77813000</v>
      </c>
      <c r="DN52" s="68">
        <f t="shared" si="9"/>
        <v>233438000</v>
      </c>
      <c r="DO52" s="50">
        <v>5</v>
      </c>
      <c r="DP52" s="33">
        <f t="shared" si="10"/>
        <v>85.921325051759837</v>
      </c>
      <c r="DQ52" s="50">
        <v>12</v>
      </c>
      <c r="DR52" s="69">
        <f t="shared" si="17"/>
        <v>30600000</v>
      </c>
      <c r="DS52" s="49">
        <v>1037.5</v>
      </c>
      <c r="DT52" s="68">
        <f t="shared" si="18"/>
        <v>31125000</v>
      </c>
      <c r="DU52" s="36">
        <f>0.6+1037.5</f>
        <v>1038.0999999999999</v>
      </c>
      <c r="DV52" s="68">
        <f t="shared" si="19"/>
        <v>10375000</v>
      </c>
      <c r="DW52" s="69">
        <f t="shared" si="11"/>
        <v>383351000</v>
      </c>
      <c r="DX52" s="33">
        <f t="shared" si="12"/>
        <v>0</v>
      </c>
    </row>
    <row r="53" spans="1:128" s="51" customFormat="1" ht="41.25" customHeight="1">
      <c r="A53" s="40">
        <v>47</v>
      </c>
      <c r="B53" s="41" t="s">
        <v>257</v>
      </c>
      <c r="C53" s="45" t="s">
        <v>258</v>
      </c>
      <c r="D53" s="88" t="s">
        <v>260</v>
      </c>
      <c r="E53" s="43" t="s">
        <v>109</v>
      </c>
      <c r="F53" s="40" t="s">
        <v>104</v>
      </c>
      <c r="G53" s="40">
        <v>1313</v>
      </c>
      <c r="H53" s="40">
        <v>49</v>
      </c>
      <c r="I53" s="44">
        <v>480.2</v>
      </c>
      <c r="J53" s="56" t="s">
        <v>259</v>
      </c>
      <c r="K53" s="40">
        <v>1</v>
      </c>
      <c r="L53" s="40">
        <v>1</v>
      </c>
      <c r="M53" s="44">
        <f t="shared" si="0"/>
        <v>566</v>
      </c>
      <c r="N53" s="44"/>
      <c r="O53" s="44"/>
      <c r="P53" s="44">
        <v>170</v>
      </c>
      <c r="Q53" s="44">
        <v>42</v>
      </c>
      <c r="R53" s="44">
        <f t="shared" si="21"/>
        <v>80</v>
      </c>
      <c r="S53" s="44">
        <v>40</v>
      </c>
      <c r="T53" s="44">
        <f t="shared" si="24"/>
        <v>4</v>
      </c>
      <c r="U53" s="44">
        <v>4</v>
      </c>
      <c r="V53" s="44"/>
      <c r="W53" s="44">
        <f t="shared" si="3"/>
        <v>730</v>
      </c>
      <c r="X53" s="29">
        <f t="shared" si="13"/>
        <v>480</v>
      </c>
      <c r="Y53" s="29">
        <f t="shared" si="14"/>
        <v>480</v>
      </c>
      <c r="Z53" s="44">
        <f t="shared" si="4"/>
        <v>730</v>
      </c>
      <c r="AA53" s="44"/>
      <c r="AB53" s="44"/>
      <c r="AC53" s="44"/>
      <c r="AD53" s="44"/>
      <c r="AE53" s="44"/>
      <c r="AF53" s="44"/>
      <c r="AG53" s="44"/>
      <c r="AH53" s="44"/>
      <c r="AI53" s="44"/>
      <c r="AJ53" s="44"/>
      <c r="AK53" s="44"/>
      <c r="AL53" s="44"/>
      <c r="AM53" s="44"/>
      <c r="AN53" s="44"/>
      <c r="AO53" s="44">
        <v>480</v>
      </c>
      <c r="AP53" s="44"/>
      <c r="AQ53" s="44"/>
      <c r="AR53" s="44"/>
      <c r="AS53" s="44"/>
      <c r="AT53" s="44"/>
      <c r="AU53" s="46"/>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f t="shared" si="5"/>
        <v>170</v>
      </c>
      <c r="CW53" s="44">
        <f t="shared" si="6"/>
        <v>80</v>
      </c>
      <c r="CX53" s="31">
        <f t="shared" si="7"/>
        <v>480.20000000000005</v>
      </c>
      <c r="CY53" s="47">
        <v>0</v>
      </c>
      <c r="CZ53" s="31">
        <f t="shared" si="15"/>
        <v>0</v>
      </c>
      <c r="DA53" s="88" t="s">
        <v>404</v>
      </c>
      <c r="DB53" s="44">
        <v>480</v>
      </c>
      <c r="DC53" s="39"/>
      <c r="DD53" s="40"/>
      <c r="DE53" s="40"/>
      <c r="DF53" s="40"/>
      <c r="DG53" s="49"/>
      <c r="DH53" s="45" t="s">
        <v>260</v>
      </c>
      <c r="DI53" s="1" t="s">
        <v>508</v>
      </c>
      <c r="DJ53" s="2" t="s">
        <v>510</v>
      </c>
      <c r="DK53" s="49">
        <v>480.20000000000005</v>
      </c>
      <c r="DL53" s="71">
        <f t="shared" si="16"/>
        <v>1.3338888888888891</v>
      </c>
      <c r="DM53" s="68">
        <f t="shared" si="8"/>
        <v>36015000</v>
      </c>
      <c r="DN53" s="68">
        <f t="shared" si="9"/>
        <v>108045000</v>
      </c>
      <c r="DO53" s="50">
        <v>0</v>
      </c>
      <c r="DP53" s="33">
        <f t="shared" si="10"/>
        <v>65.780821917808225</v>
      </c>
      <c r="DQ53" s="50">
        <v>6</v>
      </c>
      <c r="DR53" s="69">
        <f t="shared" si="17"/>
        <v>0</v>
      </c>
      <c r="DS53" s="49">
        <v>480.20000000000005</v>
      </c>
      <c r="DT53" s="68">
        <f t="shared" si="18"/>
        <v>14406000</v>
      </c>
      <c r="DU53" s="36">
        <v>480.20000000000005</v>
      </c>
      <c r="DV53" s="68">
        <f t="shared" si="19"/>
        <v>4802000</v>
      </c>
      <c r="DW53" s="69">
        <f t="shared" si="11"/>
        <v>163268000</v>
      </c>
      <c r="DX53" s="33">
        <f t="shared" si="12"/>
        <v>0</v>
      </c>
    </row>
    <row r="54" spans="1:128" s="51" customFormat="1" ht="56.25" customHeight="1">
      <c r="A54" s="40">
        <v>48</v>
      </c>
      <c r="B54" s="41" t="s">
        <v>261</v>
      </c>
      <c r="C54" s="56" t="s">
        <v>262</v>
      </c>
      <c r="D54" s="88" t="s">
        <v>428</v>
      </c>
      <c r="E54" s="43" t="s">
        <v>109</v>
      </c>
      <c r="F54" s="40" t="s">
        <v>104</v>
      </c>
      <c r="G54" s="40">
        <v>1316</v>
      </c>
      <c r="H54" s="40">
        <v>49</v>
      </c>
      <c r="I54" s="44">
        <v>1703.3</v>
      </c>
      <c r="J54" s="56" t="s">
        <v>263</v>
      </c>
      <c r="K54" s="40">
        <v>5</v>
      </c>
      <c r="L54" s="40">
        <v>6</v>
      </c>
      <c r="M54" s="44">
        <f t="shared" si="0"/>
        <v>2910</v>
      </c>
      <c r="N54" s="44"/>
      <c r="O54" s="44"/>
      <c r="P54" s="44">
        <f>Q54*4</f>
        <v>0</v>
      </c>
      <c r="Q54" s="44"/>
      <c r="R54" s="44">
        <f t="shared" si="21"/>
        <v>0</v>
      </c>
      <c r="S54" s="44"/>
      <c r="T54" s="44">
        <f t="shared" si="24"/>
        <v>1013</v>
      </c>
      <c r="U54" s="44">
        <v>21</v>
      </c>
      <c r="V54" s="44">
        <f>304+688</f>
        <v>992</v>
      </c>
      <c r="W54" s="44">
        <f t="shared" si="3"/>
        <v>1897</v>
      </c>
      <c r="X54" s="29">
        <f t="shared" si="13"/>
        <v>2889</v>
      </c>
      <c r="Y54" s="29">
        <f t="shared" si="14"/>
        <v>2889</v>
      </c>
      <c r="Z54" s="44">
        <f t="shared" si="4"/>
        <v>2889</v>
      </c>
      <c r="AA54" s="44"/>
      <c r="AB54" s="44"/>
      <c r="AC54" s="44"/>
      <c r="AD54" s="44"/>
      <c r="AE54" s="44"/>
      <c r="AF54" s="44"/>
      <c r="AG54" s="44"/>
      <c r="AH54" s="44"/>
      <c r="AI54" s="44"/>
      <c r="AJ54" s="44"/>
      <c r="AK54" s="44"/>
      <c r="AL54" s="44"/>
      <c r="AM54" s="44"/>
      <c r="AN54" s="44"/>
      <c r="AO54" s="44">
        <v>1703</v>
      </c>
      <c r="AP54" s="44"/>
      <c r="AQ54" s="44"/>
      <c r="AR54" s="44"/>
      <c r="AS54" s="44"/>
      <c r="AT54" s="44"/>
      <c r="AU54" s="46"/>
      <c r="AV54" s="44"/>
      <c r="AW54" s="44"/>
      <c r="AX54" s="44"/>
      <c r="AY54" s="44"/>
      <c r="AZ54" s="44"/>
      <c r="BA54" s="44">
        <v>688</v>
      </c>
      <c r="BB54" s="44"/>
      <c r="BC54" s="44">
        <f>6+188</f>
        <v>194</v>
      </c>
      <c r="BD54" s="44"/>
      <c r="BE54" s="44"/>
      <c r="BF54" s="44">
        <v>304</v>
      </c>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f t="shared" si="5"/>
        <v>0</v>
      </c>
      <c r="CW54" s="44">
        <f t="shared" si="6"/>
        <v>0</v>
      </c>
      <c r="CX54" s="47">
        <f t="shared" si="7"/>
        <v>1703.3000000000002</v>
      </c>
      <c r="CY54" s="47">
        <v>0</v>
      </c>
      <c r="CZ54" s="31">
        <f t="shared" si="15"/>
        <v>0</v>
      </c>
      <c r="DA54" s="88" t="s">
        <v>404</v>
      </c>
      <c r="DB54" s="44">
        <v>1703</v>
      </c>
      <c r="DC54" s="39"/>
      <c r="DD54" s="40"/>
      <c r="DE54" s="40"/>
      <c r="DF54" s="40"/>
      <c r="DG54" s="49"/>
      <c r="DH54" s="45" t="s">
        <v>540</v>
      </c>
      <c r="DI54" s="1" t="s">
        <v>508</v>
      </c>
      <c r="DJ54" s="2" t="s">
        <v>510</v>
      </c>
      <c r="DK54" s="49">
        <v>1703.3000000000002</v>
      </c>
      <c r="DL54" s="71">
        <f t="shared" si="16"/>
        <v>4.7313888888888895</v>
      </c>
      <c r="DM54" s="68">
        <f t="shared" si="8"/>
        <v>127748000</v>
      </c>
      <c r="DN54" s="68">
        <f t="shared" si="9"/>
        <v>383243000</v>
      </c>
      <c r="DO54" s="50">
        <v>7</v>
      </c>
      <c r="DP54" s="33">
        <f t="shared" si="10"/>
        <v>89.789140748550352</v>
      </c>
      <c r="DQ54" s="50">
        <v>12</v>
      </c>
      <c r="DR54" s="69">
        <f t="shared" si="17"/>
        <v>42840000</v>
      </c>
      <c r="DS54" s="49">
        <v>1703.3000000000002</v>
      </c>
      <c r="DT54" s="68">
        <f t="shared" si="18"/>
        <v>51099000</v>
      </c>
      <c r="DU54" s="36">
        <v>1703.3000000000002</v>
      </c>
      <c r="DV54" s="68">
        <f t="shared" si="19"/>
        <v>17033000</v>
      </c>
      <c r="DW54" s="69">
        <f t="shared" si="11"/>
        <v>621963000</v>
      </c>
      <c r="DX54" s="33">
        <f t="shared" si="12"/>
        <v>0</v>
      </c>
    </row>
    <row r="55" spans="1:128" s="51" customFormat="1" ht="36.6" customHeight="1">
      <c r="A55" s="40">
        <v>49</v>
      </c>
      <c r="B55" s="41" t="s">
        <v>264</v>
      </c>
      <c r="C55" s="45" t="s">
        <v>265</v>
      </c>
      <c r="D55" s="39" t="s">
        <v>463</v>
      </c>
      <c r="E55" s="43" t="s">
        <v>109</v>
      </c>
      <c r="F55" s="40" t="s">
        <v>104</v>
      </c>
      <c r="G55" s="40">
        <v>1317</v>
      </c>
      <c r="H55" s="40">
        <v>49</v>
      </c>
      <c r="I55" s="44">
        <f>313.5+1456</f>
        <v>1769.5</v>
      </c>
      <c r="J55" s="45" t="s">
        <v>266</v>
      </c>
      <c r="K55" s="40">
        <v>3</v>
      </c>
      <c r="L55" s="40">
        <v>3</v>
      </c>
      <c r="M55" s="44">
        <f t="shared" si="0"/>
        <v>1698</v>
      </c>
      <c r="N55" s="44"/>
      <c r="O55" s="44"/>
      <c r="P55" s="44">
        <f>Q55*4</f>
        <v>0</v>
      </c>
      <c r="Q55" s="44"/>
      <c r="R55" s="44">
        <f t="shared" si="21"/>
        <v>0</v>
      </c>
      <c r="S55" s="44"/>
      <c r="T55" s="44">
        <f t="shared" si="24"/>
        <v>18</v>
      </c>
      <c r="U55" s="44">
        <v>18</v>
      </c>
      <c r="V55" s="44"/>
      <c r="W55" s="44">
        <f t="shared" si="3"/>
        <v>1680</v>
      </c>
      <c r="X55" s="29">
        <f t="shared" si="13"/>
        <v>1680</v>
      </c>
      <c r="Y55" s="29">
        <f t="shared" si="14"/>
        <v>1680</v>
      </c>
      <c r="Z55" s="44">
        <f t="shared" si="4"/>
        <v>1680</v>
      </c>
      <c r="AA55" s="44"/>
      <c r="AB55" s="44"/>
      <c r="AC55" s="44"/>
      <c r="AD55" s="44"/>
      <c r="AE55" s="44"/>
      <c r="AF55" s="44"/>
      <c r="AG55" s="44"/>
      <c r="AH55" s="44"/>
      <c r="AI55" s="44"/>
      <c r="AJ55" s="44"/>
      <c r="AK55" s="44"/>
      <c r="AL55" s="44"/>
      <c r="AM55" s="44"/>
      <c r="AN55" s="44"/>
      <c r="AO55" s="44">
        <v>1456</v>
      </c>
      <c r="AP55" s="44"/>
      <c r="AQ55" s="44"/>
      <c r="AR55" s="44"/>
      <c r="AS55" s="44"/>
      <c r="AT55" s="44"/>
      <c r="AU55" s="46"/>
      <c r="AV55" s="44"/>
      <c r="AW55" s="44"/>
      <c r="AX55" s="44"/>
      <c r="AY55" s="44"/>
      <c r="AZ55" s="44"/>
      <c r="BA55" s="44"/>
      <c r="BB55" s="44"/>
      <c r="BC55" s="44">
        <v>224</v>
      </c>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f t="shared" si="5"/>
        <v>0</v>
      </c>
      <c r="CW55" s="44">
        <f t="shared" si="6"/>
        <v>0</v>
      </c>
      <c r="CX55" s="47">
        <f t="shared" si="7"/>
        <v>1769.5</v>
      </c>
      <c r="CY55" s="47">
        <v>313.5</v>
      </c>
      <c r="CZ55" s="31">
        <f t="shared" si="15"/>
        <v>0</v>
      </c>
      <c r="DA55" s="88" t="s">
        <v>404</v>
      </c>
      <c r="DB55" s="44">
        <v>1456</v>
      </c>
      <c r="DC55" s="39"/>
      <c r="DD55" s="40"/>
      <c r="DE55" s="40"/>
      <c r="DF55" s="40"/>
      <c r="DG55" s="49"/>
      <c r="DH55" s="39" t="s">
        <v>463</v>
      </c>
      <c r="DI55" s="1" t="s">
        <v>508</v>
      </c>
      <c r="DJ55" s="2" t="s">
        <v>510</v>
      </c>
      <c r="DK55" s="49">
        <v>1456</v>
      </c>
      <c r="DL55" s="71">
        <f t="shared" si="16"/>
        <v>4.0444444444444443</v>
      </c>
      <c r="DM55" s="68">
        <f t="shared" si="8"/>
        <v>109200000</v>
      </c>
      <c r="DN55" s="68">
        <f t="shared" si="9"/>
        <v>327600000</v>
      </c>
      <c r="DO55" s="50">
        <v>3</v>
      </c>
      <c r="DP55" s="33">
        <f t="shared" si="10"/>
        <v>86.666666666666671</v>
      </c>
      <c r="DQ55" s="50">
        <v>12</v>
      </c>
      <c r="DR55" s="69">
        <f t="shared" si="17"/>
        <v>18360000</v>
      </c>
      <c r="DS55" s="49">
        <v>1456</v>
      </c>
      <c r="DT55" s="68">
        <f t="shared" si="18"/>
        <v>43680000</v>
      </c>
      <c r="DU55" s="36">
        <f>313.5+1456</f>
        <v>1769.5</v>
      </c>
      <c r="DV55" s="68">
        <f t="shared" si="19"/>
        <v>14560000</v>
      </c>
      <c r="DW55" s="69">
        <f t="shared" si="11"/>
        <v>513400000</v>
      </c>
      <c r="DX55" s="33">
        <f t="shared" si="12"/>
        <v>0</v>
      </c>
    </row>
    <row r="56" spans="1:128" s="51" customFormat="1" ht="36.6" customHeight="1">
      <c r="A56" s="40">
        <v>50</v>
      </c>
      <c r="B56" s="41" t="s">
        <v>267</v>
      </c>
      <c r="C56" s="39" t="s">
        <v>268</v>
      </c>
      <c r="D56" s="39" t="s">
        <v>464</v>
      </c>
      <c r="E56" s="43" t="s">
        <v>109</v>
      </c>
      <c r="F56" s="40" t="s">
        <v>104</v>
      </c>
      <c r="G56" s="40">
        <v>77</v>
      </c>
      <c r="H56" s="40">
        <v>52</v>
      </c>
      <c r="I56" s="44">
        <v>679</v>
      </c>
      <c r="J56" s="56" t="s">
        <v>268</v>
      </c>
      <c r="K56" s="40">
        <v>2</v>
      </c>
      <c r="L56" s="40">
        <v>3</v>
      </c>
      <c r="M56" s="44">
        <f t="shared" si="0"/>
        <v>1212</v>
      </c>
      <c r="N56" s="44"/>
      <c r="O56" s="44"/>
      <c r="P56" s="44">
        <f>Q56*4</f>
        <v>0</v>
      </c>
      <c r="Q56" s="44"/>
      <c r="R56" s="44">
        <f t="shared" si="21"/>
        <v>0</v>
      </c>
      <c r="S56" s="44"/>
      <c r="T56" s="44">
        <f t="shared" si="24"/>
        <v>122.3</v>
      </c>
      <c r="U56" s="44">
        <v>9</v>
      </c>
      <c r="V56" s="44">
        <v>113.3</v>
      </c>
      <c r="W56" s="44">
        <f t="shared" si="3"/>
        <v>1089.7</v>
      </c>
      <c r="X56" s="29">
        <f t="shared" si="13"/>
        <v>1203</v>
      </c>
      <c r="Y56" s="29">
        <f t="shared" si="14"/>
        <v>1203</v>
      </c>
      <c r="Z56" s="44">
        <f t="shared" si="4"/>
        <v>1203</v>
      </c>
      <c r="AA56" s="44"/>
      <c r="AB56" s="44"/>
      <c r="AC56" s="44"/>
      <c r="AD56" s="44"/>
      <c r="AE56" s="44"/>
      <c r="AF56" s="44"/>
      <c r="AG56" s="44"/>
      <c r="AH56" s="44"/>
      <c r="AI56" s="44"/>
      <c r="AJ56" s="44"/>
      <c r="AK56" s="44"/>
      <c r="AL56" s="44"/>
      <c r="AM56" s="44"/>
      <c r="AN56" s="44"/>
      <c r="AO56" s="44">
        <v>679</v>
      </c>
      <c r="AP56" s="44"/>
      <c r="AQ56" s="44"/>
      <c r="AR56" s="44"/>
      <c r="AS56" s="44"/>
      <c r="AT56" s="44"/>
      <c r="AU56" s="46"/>
      <c r="AV56" s="44"/>
      <c r="AW56" s="44"/>
      <c r="AX56" s="44"/>
      <c r="AY56" s="44"/>
      <c r="AZ56" s="44"/>
      <c r="BA56" s="44"/>
      <c r="BB56" s="44">
        <f>19+505</f>
        <v>524</v>
      </c>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f t="shared" si="5"/>
        <v>0</v>
      </c>
      <c r="CW56" s="44">
        <f t="shared" si="6"/>
        <v>0</v>
      </c>
      <c r="CX56" s="47">
        <f t="shared" si="7"/>
        <v>679</v>
      </c>
      <c r="CY56" s="47">
        <v>0</v>
      </c>
      <c r="CZ56" s="31">
        <f t="shared" si="15"/>
        <v>0</v>
      </c>
      <c r="DA56" s="88" t="s">
        <v>404</v>
      </c>
      <c r="DB56" s="44">
        <v>679</v>
      </c>
      <c r="DC56" s="39"/>
      <c r="DD56" s="40"/>
      <c r="DE56" s="40"/>
      <c r="DF56" s="40"/>
      <c r="DG56" s="49"/>
      <c r="DH56" s="39" t="s">
        <v>464</v>
      </c>
      <c r="DI56" s="1" t="s">
        <v>509</v>
      </c>
      <c r="DJ56" s="2" t="s">
        <v>510</v>
      </c>
      <c r="DK56" s="49">
        <v>679</v>
      </c>
      <c r="DL56" s="71">
        <f t="shared" si="16"/>
        <v>1.8861111111111111</v>
      </c>
      <c r="DM56" s="68">
        <f t="shared" si="8"/>
        <v>50925000</v>
      </c>
      <c r="DN56" s="68">
        <f t="shared" si="9"/>
        <v>152775000</v>
      </c>
      <c r="DO56" s="50">
        <v>5</v>
      </c>
      <c r="DP56" s="33">
        <f t="shared" si="10"/>
        <v>62.310727723226577</v>
      </c>
      <c r="DQ56" s="50">
        <v>6</v>
      </c>
      <c r="DR56" s="69">
        <f t="shared" si="17"/>
        <v>15300000</v>
      </c>
      <c r="DS56" s="49">
        <v>679</v>
      </c>
      <c r="DT56" s="68">
        <f t="shared" si="18"/>
        <v>20370000</v>
      </c>
      <c r="DU56" s="36">
        <v>679</v>
      </c>
      <c r="DV56" s="68">
        <f t="shared" si="19"/>
        <v>6790000</v>
      </c>
      <c r="DW56" s="69">
        <f t="shared" si="11"/>
        <v>246160000</v>
      </c>
      <c r="DX56" s="33">
        <f t="shared" si="12"/>
        <v>0</v>
      </c>
    </row>
    <row r="57" spans="1:128" s="51" customFormat="1" ht="39.75" customHeight="1">
      <c r="A57" s="40">
        <v>51</v>
      </c>
      <c r="B57" s="41" t="s">
        <v>269</v>
      </c>
      <c r="C57" s="45" t="s">
        <v>270</v>
      </c>
      <c r="D57" s="88" t="s">
        <v>429</v>
      </c>
      <c r="E57" s="43" t="s">
        <v>109</v>
      </c>
      <c r="F57" s="40" t="s">
        <v>104</v>
      </c>
      <c r="G57" s="40">
        <v>78</v>
      </c>
      <c r="H57" s="40">
        <v>52</v>
      </c>
      <c r="I57" s="44">
        <v>990</v>
      </c>
      <c r="J57" s="56" t="s">
        <v>271</v>
      </c>
      <c r="K57" s="40">
        <v>4</v>
      </c>
      <c r="L57" s="40">
        <v>3</v>
      </c>
      <c r="M57" s="44">
        <f t="shared" si="0"/>
        <v>2184</v>
      </c>
      <c r="N57" s="44"/>
      <c r="O57" s="44"/>
      <c r="P57" s="44">
        <f>Q57*4</f>
        <v>80</v>
      </c>
      <c r="Q57" s="44">
        <v>20</v>
      </c>
      <c r="R57" s="44">
        <f t="shared" si="21"/>
        <v>0</v>
      </c>
      <c r="S57" s="44"/>
      <c r="T57" s="44">
        <f t="shared" si="24"/>
        <v>757.7</v>
      </c>
      <c r="U57" s="44">
        <v>11</v>
      </c>
      <c r="V57" s="44">
        <f>344+100.7+302</f>
        <v>746.7</v>
      </c>
      <c r="W57" s="44">
        <f t="shared" si="3"/>
        <v>1486.3</v>
      </c>
      <c r="X57" s="29">
        <f t="shared" si="13"/>
        <v>2153</v>
      </c>
      <c r="Y57" s="29">
        <f t="shared" si="14"/>
        <v>2153</v>
      </c>
      <c r="Z57" s="44">
        <f t="shared" si="4"/>
        <v>2233</v>
      </c>
      <c r="AA57" s="44"/>
      <c r="AB57" s="44"/>
      <c r="AC57" s="44"/>
      <c r="AD57" s="44"/>
      <c r="AE57" s="44"/>
      <c r="AF57" s="44"/>
      <c r="AG57" s="44"/>
      <c r="AH57" s="44"/>
      <c r="AI57" s="44"/>
      <c r="AJ57" s="44"/>
      <c r="AK57" s="44"/>
      <c r="AL57" s="44"/>
      <c r="AM57" s="44"/>
      <c r="AN57" s="44"/>
      <c r="AO57" s="44">
        <v>990</v>
      </c>
      <c r="AP57" s="44"/>
      <c r="AQ57" s="44"/>
      <c r="AR57" s="44"/>
      <c r="AS57" s="44"/>
      <c r="AT57" s="44"/>
      <c r="AU57" s="46"/>
      <c r="AV57" s="44"/>
      <c r="AW57" s="44"/>
      <c r="AX57" s="44"/>
      <c r="AY57" s="44"/>
      <c r="AZ57" s="44"/>
      <c r="BA57" s="44"/>
      <c r="BB57" s="44">
        <v>517</v>
      </c>
      <c r="BC57" s="44"/>
      <c r="BD57" s="44"/>
      <c r="BE57" s="44"/>
      <c r="BF57" s="44">
        <v>344</v>
      </c>
      <c r="BG57" s="44"/>
      <c r="BH57" s="44">
        <v>302</v>
      </c>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f t="shared" si="5"/>
        <v>80</v>
      </c>
      <c r="CW57" s="44">
        <f t="shared" si="6"/>
        <v>0</v>
      </c>
      <c r="CX57" s="47">
        <f t="shared" si="7"/>
        <v>990</v>
      </c>
      <c r="CY57" s="47">
        <v>0</v>
      </c>
      <c r="CZ57" s="31">
        <f t="shared" si="15"/>
        <v>0</v>
      </c>
      <c r="DA57" s="88" t="s">
        <v>404</v>
      </c>
      <c r="DB57" s="44">
        <v>990</v>
      </c>
      <c r="DC57" s="39"/>
      <c r="DD57" s="40"/>
      <c r="DE57" s="40"/>
      <c r="DF57" s="40"/>
      <c r="DG57" s="49"/>
      <c r="DH57" s="45" t="s">
        <v>502</v>
      </c>
      <c r="DI57" s="1" t="s">
        <v>509</v>
      </c>
      <c r="DJ57" s="2" t="s">
        <v>510</v>
      </c>
      <c r="DK57" s="49">
        <v>990</v>
      </c>
      <c r="DL57" s="71">
        <f t="shared" si="16"/>
        <v>2.75</v>
      </c>
      <c r="DM57" s="68">
        <f t="shared" si="8"/>
        <v>74250000</v>
      </c>
      <c r="DN57" s="68">
        <f t="shared" si="9"/>
        <v>222750000</v>
      </c>
      <c r="DO57" s="50">
        <v>2</v>
      </c>
      <c r="DP57" s="33">
        <f t="shared" si="10"/>
        <v>66.608356321065727</v>
      </c>
      <c r="DQ57" s="50">
        <v>6</v>
      </c>
      <c r="DR57" s="69">
        <f t="shared" si="17"/>
        <v>6120000</v>
      </c>
      <c r="DS57" s="49">
        <v>990</v>
      </c>
      <c r="DT57" s="68">
        <f t="shared" si="18"/>
        <v>29700000</v>
      </c>
      <c r="DU57" s="36">
        <v>990</v>
      </c>
      <c r="DV57" s="68">
        <f t="shared" si="19"/>
        <v>9900000</v>
      </c>
      <c r="DW57" s="69">
        <f t="shared" si="11"/>
        <v>342720000</v>
      </c>
      <c r="DX57" s="33">
        <f t="shared" si="12"/>
        <v>0</v>
      </c>
    </row>
    <row r="58" spans="1:128" s="51" customFormat="1" ht="36.6" customHeight="1">
      <c r="A58" s="26">
        <v>52</v>
      </c>
      <c r="B58" s="41" t="s">
        <v>272</v>
      </c>
      <c r="C58" s="42" t="s">
        <v>273</v>
      </c>
      <c r="D58" s="42" t="s">
        <v>465</v>
      </c>
      <c r="E58" s="43" t="s">
        <v>109</v>
      </c>
      <c r="F58" s="40" t="s">
        <v>104</v>
      </c>
      <c r="G58" s="40">
        <v>1288</v>
      </c>
      <c r="H58" s="40">
        <v>49</v>
      </c>
      <c r="I58" s="44">
        <f>63.7+2686.8+118+402.8</f>
        <v>3271.3</v>
      </c>
      <c r="J58" s="56" t="s">
        <v>274</v>
      </c>
      <c r="K58" s="40">
        <v>4</v>
      </c>
      <c r="L58" s="40">
        <v>5</v>
      </c>
      <c r="M58" s="44">
        <f t="shared" si="0"/>
        <v>2344</v>
      </c>
      <c r="N58" s="44"/>
      <c r="O58" s="44"/>
      <c r="P58" s="44">
        <f t="shared" ref="P58:P98" si="25">Q58*4</f>
        <v>0</v>
      </c>
      <c r="Q58" s="44"/>
      <c r="R58" s="44">
        <f t="shared" si="21"/>
        <v>0</v>
      </c>
      <c r="S58" s="44"/>
      <c r="T58" s="44">
        <f t="shared" si="24"/>
        <v>905.9</v>
      </c>
      <c r="U58" s="44">
        <v>16</v>
      </c>
      <c r="V58" s="44">
        <f>41+142.4+706.5</f>
        <v>889.9</v>
      </c>
      <c r="W58" s="44">
        <f t="shared" si="3"/>
        <v>1438.1</v>
      </c>
      <c r="X58" s="44">
        <f t="shared" si="13"/>
        <v>2328</v>
      </c>
      <c r="Y58" s="44">
        <f t="shared" si="14"/>
        <v>2328</v>
      </c>
      <c r="Z58" s="44">
        <f>SUM(AA58:CW58)</f>
        <v>2328</v>
      </c>
      <c r="AA58" s="44"/>
      <c r="AB58" s="44"/>
      <c r="AC58" s="44"/>
      <c r="AD58" s="44"/>
      <c r="AE58" s="44"/>
      <c r="AF58" s="44"/>
      <c r="AG58" s="44"/>
      <c r="AH58" s="44"/>
      <c r="AI58" s="44"/>
      <c r="AJ58" s="44"/>
      <c r="AK58" s="44"/>
      <c r="AL58" s="44"/>
      <c r="AM58" s="44"/>
      <c r="AN58" s="44"/>
      <c r="AO58" s="44">
        <f>118+1173</f>
        <v>1291</v>
      </c>
      <c r="AP58" s="44"/>
      <c r="AQ58" s="44"/>
      <c r="AR58" s="44"/>
      <c r="AS58" s="44"/>
      <c r="AT58" s="44"/>
      <c r="AU58" s="46"/>
      <c r="AV58" s="44"/>
      <c r="AW58" s="44"/>
      <c r="AX58" s="44"/>
      <c r="AY58" s="44"/>
      <c r="AZ58" s="44"/>
      <c r="BA58" s="44"/>
      <c r="BB58" s="44">
        <v>756</v>
      </c>
      <c r="BC58" s="44">
        <v>240</v>
      </c>
      <c r="BD58" s="44"/>
      <c r="BE58" s="44"/>
      <c r="BF58" s="44">
        <v>41</v>
      </c>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f t="shared" si="5"/>
        <v>0</v>
      </c>
      <c r="CW58" s="44">
        <f t="shared" si="6"/>
        <v>0</v>
      </c>
      <c r="CX58" s="47">
        <f t="shared" si="7"/>
        <v>3042.1</v>
      </c>
      <c r="CY58" s="47">
        <v>2457.6</v>
      </c>
      <c r="CZ58" s="31">
        <f t="shared" si="15"/>
        <v>229.20000000000027</v>
      </c>
      <c r="DA58" s="88" t="s">
        <v>404</v>
      </c>
      <c r="DB58" s="44">
        <f>1173-706.5</f>
        <v>466.5</v>
      </c>
      <c r="DC58" s="39"/>
      <c r="DD58" s="40"/>
      <c r="DE58" s="40"/>
      <c r="DF58" s="40"/>
      <c r="DG58" s="49"/>
      <c r="DH58" s="42" t="s">
        <v>465</v>
      </c>
      <c r="DI58" s="1" t="s">
        <v>515</v>
      </c>
      <c r="DJ58" s="2" t="s">
        <v>510</v>
      </c>
      <c r="DK58" s="49">
        <f>63.7+118+402.8</f>
        <v>584.5</v>
      </c>
      <c r="DL58" s="71">
        <f t="shared" si="16"/>
        <v>1.6236111111111111</v>
      </c>
      <c r="DM58" s="68">
        <f t="shared" si="8"/>
        <v>43838000</v>
      </c>
      <c r="DN58" s="68">
        <f t="shared" si="9"/>
        <v>131513000</v>
      </c>
      <c r="DO58" s="50">
        <v>5</v>
      </c>
      <c r="DP58" s="33">
        <f t="shared" si="10"/>
        <v>40.643905152631952</v>
      </c>
      <c r="DQ58" s="50">
        <v>6</v>
      </c>
      <c r="DR58" s="69">
        <f t="shared" si="17"/>
        <v>15300000</v>
      </c>
      <c r="DS58" s="49">
        <v>584.5</v>
      </c>
      <c r="DT58" s="68">
        <f t="shared" si="18"/>
        <v>17535000</v>
      </c>
      <c r="DU58" s="36">
        <f>584.5</f>
        <v>584.5</v>
      </c>
      <c r="DV58" s="68">
        <f t="shared" si="19"/>
        <v>5845000</v>
      </c>
      <c r="DW58" s="69">
        <f t="shared" si="11"/>
        <v>214031000</v>
      </c>
      <c r="DX58" s="33">
        <f t="shared" si="12"/>
        <v>229.20000000000027</v>
      </c>
    </row>
    <row r="59" spans="1:128" s="51" customFormat="1" ht="36.6" customHeight="1">
      <c r="A59" s="40">
        <v>53</v>
      </c>
      <c r="B59" s="41" t="s">
        <v>275</v>
      </c>
      <c r="C59" s="56" t="s">
        <v>276</v>
      </c>
      <c r="D59" s="88" t="s">
        <v>430</v>
      </c>
      <c r="E59" s="43" t="s">
        <v>109</v>
      </c>
      <c r="F59" s="40" t="s">
        <v>104</v>
      </c>
      <c r="G59" s="40">
        <v>79</v>
      </c>
      <c r="H59" s="40">
        <v>52</v>
      </c>
      <c r="I59" s="44">
        <v>360.2</v>
      </c>
      <c r="J59" s="45" t="s">
        <v>277</v>
      </c>
      <c r="K59" s="40">
        <v>5</v>
      </c>
      <c r="L59" s="40">
        <v>5</v>
      </c>
      <c r="M59" s="44">
        <f>(K59*486)+(L59*80)</f>
        <v>2830</v>
      </c>
      <c r="N59" s="44"/>
      <c r="O59" s="44"/>
      <c r="P59" s="44">
        <f>Q59*4</f>
        <v>0</v>
      </c>
      <c r="Q59" s="44"/>
      <c r="R59" s="44">
        <f>S59*2</f>
        <v>0</v>
      </c>
      <c r="S59" s="44"/>
      <c r="T59" s="44">
        <f>U59+V59</f>
        <v>18</v>
      </c>
      <c r="U59" s="44">
        <v>18</v>
      </c>
      <c r="V59" s="44"/>
      <c r="W59" s="44">
        <f>M59-N59+O59-Q59+P59-S59+R59-T59</f>
        <v>2812</v>
      </c>
      <c r="X59" s="29">
        <f t="shared" si="13"/>
        <v>2812</v>
      </c>
      <c r="Y59" s="29">
        <f t="shared" si="14"/>
        <v>2812</v>
      </c>
      <c r="Z59" s="44">
        <f t="shared" ref="Z59:Z98" si="26">SUM(AA59:CW59)</f>
        <v>2812</v>
      </c>
      <c r="AA59" s="44"/>
      <c r="AB59" s="44"/>
      <c r="AC59" s="44"/>
      <c r="AD59" s="44"/>
      <c r="AE59" s="44"/>
      <c r="AF59" s="44"/>
      <c r="AG59" s="44"/>
      <c r="AH59" s="44"/>
      <c r="AI59" s="44"/>
      <c r="AJ59" s="44"/>
      <c r="AK59" s="44"/>
      <c r="AL59" s="44"/>
      <c r="AM59" s="44"/>
      <c r="AN59" s="44"/>
      <c r="AO59" s="44">
        <v>360</v>
      </c>
      <c r="AP59" s="44"/>
      <c r="AQ59" s="44"/>
      <c r="AR59" s="44"/>
      <c r="AS59" s="44">
        <f>20+1243</f>
        <v>1263</v>
      </c>
      <c r="AT59" s="44">
        <v>1087</v>
      </c>
      <c r="AU59" s="46"/>
      <c r="AV59" s="44"/>
      <c r="AW59" s="44"/>
      <c r="AX59" s="44"/>
      <c r="AY59" s="44"/>
      <c r="AZ59" s="44"/>
      <c r="BA59" s="44"/>
      <c r="BB59" s="44"/>
      <c r="BC59" s="44">
        <v>102</v>
      </c>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f t="shared" si="5"/>
        <v>0</v>
      </c>
      <c r="CW59" s="44">
        <f t="shared" si="6"/>
        <v>0</v>
      </c>
      <c r="CX59" s="47">
        <f t="shared" si="7"/>
        <v>360.2</v>
      </c>
      <c r="CY59" s="47">
        <v>0</v>
      </c>
      <c r="CZ59" s="31">
        <f t="shared" si="15"/>
        <v>0</v>
      </c>
      <c r="DA59" s="88" t="s">
        <v>404</v>
      </c>
      <c r="DB59" s="44">
        <v>360</v>
      </c>
      <c r="DC59" s="39"/>
      <c r="DD59" s="40"/>
      <c r="DE59" s="40"/>
      <c r="DF59" s="40"/>
      <c r="DG59" s="49"/>
      <c r="DH59" s="45" t="s">
        <v>492</v>
      </c>
      <c r="DI59" s="1" t="s">
        <v>509</v>
      </c>
      <c r="DJ59" s="2" t="s">
        <v>510</v>
      </c>
      <c r="DK59" s="49">
        <v>360.2</v>
      </c>
      <c r="DL59" s="71">
        <f t="shared" si="16"/>
        <v>1.0005555555555554</v>
      </c>
      <c r="DM59" s="68">
        <f t="shared" si="8"/>
        <v>27015000</v>
      </c>
      <c r="DN59" s="68">
        <f t="shared" si="9"/>
        <v>81045000</v>
      </c>
      <c r="DO59" s="50">
        <v>4</v>
      </c>
      <c r="DP59" s="33">
        <f t="shared" si="10"/>
        <v>12.809388335704124</v>
      </c>
      <c r="DQ59" s="50">
        <v>3</v>
      </c>
      <c r="DR59" s="69">
        <f t="shared" si="17"/>
        <v>6120000</v>
      </c>
      <c r="DS59" s="49">
        <v>360.2</v>
      </c>
      <c r="DT59" s="68">
        <f t="shared" si="18"/>
        <v>10806000</v>
      </c>
      <c r="DU59" s="36">
        <v>360.2</v>
      </c>
      <c r="DV59" s="68">
        <f t="shared" si="19"/>
        <v>3602000</v>
      </c>
      <c r="DW59" s="69">
        <f t="shared" si="11"/>
        <v>128588000</v>
      </c>
      <c r="DX59" s="33">
        <f t="shared" si="12"/>
        <v>0</v>
      </c>
    </row>
    <row r="60" spans="1:128" s="51" customFormat="1" ht="24.75" customHeight="1">
      <c r="A60" s="40">
        <v>54</v>
      </c>
      <c r="B60" s="41" t="s">
        <v>278</v>
      </c>
      <c r="C60" s="45" t="s">
        <v>279</v>
      </c>
      <c r="D60" s="88" t="s">
        <v>431</v>
      </c>
      <c r="E60" s="43" t="s">
        <v>109</v>
      </c>
      <c r="F60" s="40" t="s">
        <v>104</v>
      </c>
      <c r="G60" s="40">
        <v>81</v>
      </c>
      <c r="H60" s="40">
        <v>52</v>
      </c>
      <c r="I60" s="44">
        <v>559</v>
      </c>
      <c r="J60" s="56" t="s">
        <v>280</v>
      </c>
      <c r="K60" s="40">
        <v>2</v>
      </c>
      <c r="L60" s="40">
        <v>2</v>
      </c>
      <c r="M60" s="44">
        <f>(K60*486)+(L60*80)</f>
        <v>1132</v>
      </c>
      <c r="N60" s="44"/>
      <c r="O60" s="44"/>
      <c r="P60" s="44">
        <f>Q60*4</f>
        <v>180</v>
      </c>
      <c r="Q60" s="44">
        <v>45</v>
      </c>
      <c r="R60" s="44">
        <f>S60*2</f>
        <v>0</v>
      </c>
      <c r="S60" s="44"/>
      <c r="T60" s="44">
        <f>U60+V60</f>
        <v>4</v>
      </c>
      <c r="U60" s="44">
        <v>4</v>
      </c>
      <c r="V60" s="44"/>
      <c r="W60" s="44">
        <f>M60-N60+O60-Q60+P60-S60+R60-T60</f>
        <v>1263</v>
      </c>
      <c r="X60" s="29">
        <f t="shared" si="13"/>
        <v>1083</v>
      </c>
      <c r="Y60" s="29">
        <f t="shared" si="14"/>
        <v>1083</v>
      </c>
      <c r="Z60" s="44">
        <f t="shared" si="26"/>
        <v>1263</v>
      </c>
      <c r="AA60" s="44"/>
      <c r="AB60" s="44"/>
      <c r="AC60" s="44"/>
      <c r="AD60" s="44"/>
      <c r="AE60" s="44"/>
      <c r="AF60" s="44"/>
      <c r="AG60" s="44"/>
      <c r="AH60" s="44"/>
      <c r="AI60" s="44"/>
      <c r="AJ60" s="44"/>
      <c r="AK60" s="44"/>
      <c r="AL60" s="44"/>
      <c r="AM60" s="44"/>
      <c r="AN60" s="44"/>
      <c r="AO60" s="44">
        <v>559</v>
      </c>
      <c r="AP60" s="44"/>
      <c r="AQ60" s="44"/>
      <c r="AR60" s="44"/>
      <c r="AS60" s="44"/>
      <c r="AT60" s="44"/>
      <c r="AU60" s="46"/>
      <c r="AV60" s="44"/>
      <c r="AW60" s="44"/>
      <c r="AX60" s="44"/>
      <c r="AY60" s="44"/>
      <c r="AZ60" s="44"/>
      <c r="BA60" s="44"/>
      <c r="BB60" s="44"/>
      <c r="BC60" s="44"/>
      <c r="BD60" s="44">
        <f>372+152</f>
        <v>524</v>
      </c>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f t="shared" si="5"/>
        <v>180</v>
      </c>
      <c r="CW60" s="44">
        <f t="shared" si="6"/>
        <v>0</v>
      </c>
      <c r="CX60" s="47">
        <f t="shared" si="7"/>
        <v>559</v>
      </c>
      <c r="CY60" s="47">
        <v>0</v>
      </c>
      <c r="CZ60" s="31">
        <f t="shared" si="15"/>
        <v>0</v>
      </c>
      <c r="DA60" s="88" t="s">
        <v>404</v>
      </c>
      <c r="DB60" s="44">
        <v>559</v>
      </c>
      <c r="DC60" s="39"/>
      <c r="DD60" s="40"/>
      <c r="DE60" s="40"/>
      <c r="DF60" s="40"/>
      <c r="DG60" s="49"/>
      <c r="DH60" s="39" t="s">
        <v>431</v>
      </c>
      <c r="DI60" s="1" t="s">
        <v>509</v>
      </c>
      <c r="DJ60" s="2" t="s">
        <v>510</v>
      </c>
      <c r="DK60" s="49">
        <v>559</v>
      </c>
      <c r="DL60" s="71">
        <f t="shared" si="16"/>
        <v>1.5527777777777778</v>
      </c>
      <c r="DM60" s="68">
        <f t="shared" si="8"/>
        <v>41925000</v>
      </c>
      <c r="DN60" s="68">
        <f t="shared" si="9"/>
        <v>125775000</v>
      </c>
      <c r="DO60" s="50">
        <v>0</v>
      </c>
      <c r="DP60" s="33">
        <f t="shared" si="10"/>
        <v>44.2596991290578</v>
      </c>
      <c r="DQ60" s="50">
        <v>6</v>
      </c>
      <c r="DR60" s="69">
        <f t="shared" si="17"/>
        <v>0</v>
      </c>
      <c r="DS60" s="49">
        <v>559</v>
      </c>
      <c r="DT60" s="68">
        <f t="shared" si="18"/>
        <v>16770000</v>
      </c>
      <c r="DU60" s="36">
        <v>559</v>
      </c>
      <c r="DV60" s="68">
        <f t="shared" si="19"/>
        <v>5590000</v>
      </c>
      <c r="DW60" s="69">
        <f t="shared" si="11"/>
        <v>190060000</v>
      </c>
      <c r="DX60" s="33">
        <f t="shared" si="12"/>
        <v>0</v>
      </c>
    </row>
    <row r="61" spans="1:128" s="51" customFormat="1" ht="69.75" customHeight="1">
      <c r="A61" s="40">
        <v>55</v>
      </c>
      <c r="B61" s="41" t="s">
        <v>281</v>
      </c>
      <c r="C61" s="45" t="s">
        <v>282</v>
      </c>
      <c r="D61" s="88" t="s">
        <v>481</v>
      </c>
      <c r="E61" s="43" t="s">
        <v>109</v>
      </c>
      <c r="F61" s="40" t="s">
        <v>104</v>
      </c>
      <c r="G61" s="40">
        <v>1289</v>
      </c>
      <c r="H61" s="40">
        <v>49</v>
      </c>
      <c r="I61" s="44">
        <v>459</v>
      </c>
      <c r="J61" s="45" t="s">
        <v>283</v>
      </c>
      <c r="K61" s="40">
        <v>2</v>
      </c>
      <c r="L61" s="40">
        <v>1</v>
      </c>
      <c r="M61" s="44">
        <f t="shared" si="0"/>
        <v>1052</v>
      </c>
      <c r="N61" s="44"/>
      <c r="O61" s="44"/>
      <c r="P61" s="44">
        <v>50</v>
      </c>
      <c r="Q61" s="44">
        <v>12</v>
      </c>
      <c r="R61" s="44">
        <f t="shared" si="21"/>
        <v>0</v>
      </c>
      <c r="S61" s="44"/>
      <c r="T61" s="44">
        <f t="shared" si="24"/>
        <v>151</v>
      </c>
      <c r="U61" s="44">
        <v>6</v>
      </c>
      <c r="V61" s="44">
        <v>145</v>
      </c>
      <c r="W61" s="44">
        <f t="shared" si="3"/>
        <v>939</v>
      </c>
      <c r="X61" s="29">
        <f t="shared" si="13"/>
        <v>1034</v>
      </c>
      <c r="Y61" s="29">
        <f t="shared" si="14"/>
        <v>1034</v>
      </c>
      <c r="Z61" s="44">
        <f t="shared" si="26"/>
        <v>1084</v>
      </c>
      <c r="AA61" s="44"/>
      <c r="AB61" s="44"/>
      <c r="AC61" s="44"/>
      <c r="AD61" s="44"/>
      <c r="AE61" s="44"/>
      <c r="AF61" s="44"/>
      <c r="AG61" s="44"/>
      <c r="AH61" s="44"/>
      <c r="AI61" s="44"/>
      <c r="AJ61" s="44"/>
      <c r="AK61" s="44"/>
      <c r="AL61" s="44"/>
      <c r="AM61" s="44"/>
      <c r="AN61" s="44"/>
      <c r="AO61" s="44">
        <v>459</v>
      </c>
      <c r="AP61" s="44"/>
      <c r="AQ61" s="44"/>
      <c r="AR61" s="44"/>
      <c r="AS61" s="44"/>
      <c r="AT61" s="44"/>
      <c r="AU61" s="46">
        <f>486-56+145</f>
        <v>575</v>
      </c>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f t="shared" si="5"/>
        <v>50</v>
      </c>
      <c r="CW61" s="44">
        <f t="shared" si="6"/>
        <v>0</v>
      </c>
      <c r="CX61" s="47">
        <f t="shared" si="7"/>
        <v>459</v>
      </c>
      <c r="CY61" s="47">
        <v>0</v>
      </c>
      <c r="CZ61" s="31">
        <f t="shared" si="15"/>
        <v>0</v>
      </c>
      <c r="DA61" s="88" t="s">
        <v>404</v>
      </c>
      <c r="DB61" s="44">
        <v>459</v>
      </c>
      <c r="DC61" s="39"/>
      <c r="DD61" s="40"/>
      <c r="DE61" s="40"/>
      <c r="DF61" s="40"/>
      <c r="DG61" s="49"/>
      <c r="DH61" s="96" t="s">
        <v>528</v>
      </c>
      <c r="DI61" s="1" t="s">
        <v>508</v>
      </c>
      <c r="DJ61" s="2" t="s">
        <v>510</v>
      </c>
      <c r="DK61" s="49">
        <v>459</v>
      </c>
      <c r="DL61" s="71">
        <f t="shared" si="16"/>
        <v>1.2749999999999999</v>
      </c>
      <c r="DM61" s="68">
        <f t="shared" si="8"/>
        <v>34425000</v>
      </c>
      <c r="DN61" s="68">
        <f t="shared" si="9"/>
        <v>103275000</v>
      </c>
      <c r="DO61" s="50">
        <v>0</v>
      </c>
      <c r="DP61" s="33">
        <f t="shared" si="10"/>
        <v>48.881789137380196</v>
      </c>
      <c r="DQ61" s="50">
        <v>6</v>
      </c>
      <c r="DR61" s="69">
        <f t="shared" si="17"/>
        <v>0</v>
      </c>
      <c r="DS61" s="49">
        <v>459</v>
      </c>
      <c r="DT61" s="68">
        <f t="shared" si="18"/>
        <v>13770000</v>
      </c>
      <c r="DU61" s="36">
        <v>459</v>
      </c>
      <c r="DV61" s="68">
        <f t="shared" si="19"/>
        <v>4590000</v>
      </c>
      <c r="DW61" s="69">
        <f t="shared" si="11"/>
        <v>156060000</v>
      </c>
      <c r="DX61" s="33">
        <f t="shared" si="12"/>
        <v>0</v>
      </c>
    </row>
    <row r="62" spans="1:128" s="51" customFormat="1" ht="36.6" customHeight="1">
      <c r="A62" s="40">
        <v>56</v>
      </c>
      <c r="B62" s="41" t="s">
        <v>284</v>
      </c>
      <c r="C62" s="45" t="s">
        <v>285</v>
      </c>
      <c r="D62" s="88" t="s">
        <v>432</v>
      </c>
      <c r="E62" s="43" t="s">
        <v>109</v>
      </c>
      <c r="F62" s="40" t="s">
        <v>104</v>
      </c>
      <c r="G62" s="40">
        <v>1289</v>
      </c>
      <c r="H62" s="40">
        <v>49</v>
      </c>
      <c r="I62" s="44">
        <f>292.3+335</f>
        <v>627.29999999999995</v>
      </c>
      <c r="J62" s="45" t="s">
        <v>286</v>
      </c>
      <c r="K62" s="40">
        <v>2</v>
      </c>
      <c r="L62" s="40">
        <v>4</v>
      </c>
      <c r="M62" s="44">
        <f t="shared" si="0"/>
        <v>1292</v>
      </c>
      <c r="N62" s="44"/>
      <c r="O62" s="44"/>
      <c r="P62" s="44">
        <f t="shared" ref="P62" si="27">Q62*4</f>
        <v>0</v>
      </c>
      <c r="Q62" s="44"/>
      <c r="R62" s="44">
        <f t="shared" si="21"/>
        <v>0</v>
      </c>
      <c r="S62" s="44"/>
      <c r="T62" s="44">
        <f t="shared" si="24"/>
        <v>351</v>
      </c>
      <c r="U62" s="44">
        <v>11</v>
      </c>
      <c r="V62" s="44">
        <f>50+290</f>
        <v>340</v>
      </c>
      <c r="W62" s="44">
        <f t="shared" si="3"/>
        <v>941</v>
      </c>
      <c r="X62" s="29">
        <f t="shared" si="13"/>
        <v>1281</v>
      </c>
      <c r="Y62" s="29">
        <f t="shared" si="14"/>
        <v>1281</v>
      </c>
      <c r="Z62" s="44">
        <f t="shared" si="26"/>
        <v>1281</v>
      </c>
      <c r="AA62" s="44"/>
      <c r="AB62" s="44"/>
      <c r="AC62" s="44"/>
      <c r="AD62" s="44"/>
      <c r="AE62" s="44"/>
      <c r="AF62" s="44"/>
      <c r="AG62" s="44"/>
      <c r="AH62" s="44"/>
      <c r="AI62" s="44"/>
      <c r="AJ62" s="44"/>
      <c r="AK62" s="44"/>
      <c r="AL62" s="44"/>
      <c r="AM62" s="44"/>
      <c r="AN62" s="44"/>
      <c r="AO62" s="44">
        <f>599+290</f>
        <v>889</v>
      </c>
      <c r="AP62" s="44"/>
      <c r="AQ62" s="44"/>
      <c r="AR62" s="44"/>
      <c r="AS62" s="44"/>
      <c r="AT62" s="44"/>
      <c r="AU62" s="46"/>
      <c r="AV62" s="44"/>
      <c r="AW62" s="44"/>
      <c r="AX62" s="44"/>
      <c r="AY62" s="44"/>
      <c r="AZ62" s="44"/>
      <c r="BA62" s="44"/>
      <c r="BB62" s="44"/>
      <c r="BC62" s="44"/>
      <c r="BD62" s="44">
        <v>342</v>
      </c>
      <c r="BE62" s="44"/>
      <c r="BF62" s="44">
        <v>50</v>
      </c>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f t="shared" si="5"/>
        <v>0</v>
      </c>
      <c r="CW62" s="44">
        <f t="shared" si="6"/>
        <v>0</v>
      </c>
      <c r="CX62" s="47">
        <f t="shared" si="7"/>
        <v>627.29999999999995</v>
      </c>
      <c r="CY62" s="47">
        <v>292.3</v>
      </c>
      <c r="CZ62" s="31">
        <f t="shared" si="15"/>
        <v>0</v>
      </c>
      <c r="DA62" s="88" t="s">
        <v>404</v>
      </c>
      <c r="DB62" s="44">
        <v>599</v>
      </c>
      <c r="DC62" s="39"/>
      <c r="DD62" s="40"/>
      <c r="DE62" s="40"/>
      <c r="DF62" s="40"/>
      <c r="DG62" s="49"/>
      <c r="DH62" s="45" t="s">
        <v>432</v>
      </c>
      <c r="DI62" s="1" t="s">
        <v>508</v>
      </c>
      <c r="DJ62" s="2" t="s">
        <v>510</v>
      </c>
      <c r="DK62" s="49">
        <v>335</v>
      </c>
      <c r="DL62" s="71">
        <f t="shared" si="16"/>
        <v>0.93055555555555558</v>
      </c>
      <c r="DM62" s="68">
        <f t="shared" si="8"/>
        <v>25125000</v>
      </c>
      <c r="DN62" s="68">
        <f t="shared" si="9"/>
        <v>75375000</v>
      </c>
      <c r="DO62" s="50">
        <v>2</v>
      </c>
      <c r="DP62" s="33">
        <f t="shared" si="10"/>
        <v>35.600425079702447</v>
      </c>
      <c r="DQ62" s="50">
        <v>6</v>
      </c>
      <c r="DR62" s="69">
        <f t="shared" si="17"/>
        <v>6120000</v>
      </c>
      <c r="DS62" s="49">
        <v>335</v>
      </c>
      <c r="DT62" s="68">
        <f t="shared" si="18"/>
        <v>10050000</v>
      </c>
      <c r="DU62" s="36">
        <f>292.3+335</f>
        <v>627.29999999999995</v>
      </c>
      <c r="DV62" s="68">
        <f t="shared" si="19"/>
        <v>3350000</v>
      </c>
      <c r="DW62" s="69">
        <f t="shared" si="11"/>
        <v>120020000</v>
      </c>
      <c r="DX62" s="33">
        <f t="shared" si="12"/>
        <v>0</v>
      </c>
    </row>
    <row r="63" spans="1:128" s="51" customFormat="1" ht="19.5" customHeight="1">
      <c r="A63" s="40">
        <v>57</v>
      </c>
      <c r="B63" s="41" t="s">
        <v>287</v>
      </c>
      <c r="C63" s="45" t="s">
        <v>288</v>
      </c>
      <c r="D63" s="57" t="s">
        <v>290</v>
      </c>
      <c r="E63" s="43" t="s">
        <v>109</v>
      </c>
      <c r="F63" s="40" t="s">
        <v>104</v>
      </c>
      <c r="G63" s="40">
        <v>1292</v>
      </c>
      <c r="H63" s="40">
        <v>49</v>
      </c>
      <c r="I63" s="44">
        <f>17.6+1709</f>
        <v>1726.6</v>
      </c>
      <c r="J63" s="56" t="s">
        <v>289</v>
      </c>
      <c r="K63" s="40">
        <v>5</v>
      </c>
      <c r="L63" s="40">
        <v>7</v>
      </c>
      <c r="M63" s="44">
        <f>(K63*486)+(L63*80)</f>
        <v>2990</v>
      </c>
      <c r="N63" s="44"/>
      <c r="O63" s="44"/>
      <c r="P63" s="44">
        <f>Q63*4</f>
        <v>0</v>
      </c>
      <c r="Q63" s="44"/>
      <c r="R63" s="44">
        <f>S63*2</f>
        <v>40</v>
      </c>
      <c r="S63" s="44">
        <v>20</v>
      </c>
      <c r="T63" s="44">
        <f>U63+V63</f>
        <v>718</v>
      </c>
      <c r="U63" s="44">
        <v>21</v>
      </c>
      <c r="V63" s="44">
        <v>697</v>
      </c>
      <c r="W63" s="44">
        <f>M63-N63+O63-Q63+P63-S63+R63-T63</f>
        <v>2292</v>
      </c>
      <c r="X63" s="29">
        <f t="shared" si="13"/>
        <v>2949</v>
      </c>
      <c r="Y63" s="29">
        <f t="shared" si="14"/>
        <v>2949</v>
      </c>
      <c r="Z63" s="44">
        <f>SUM(AA63:CW63)</f>
        <v>2989</v>
      </c>
      <c r="AA63" s="44"/>
      <c r="AB63" s="44"/>
      <c r="AC63" s="44"/>
      <c r="AD63" s="44"/>
      <c r="AE63" s="44"/>
      <c r="AF63" s="44"/>
      <c r="AG63" s="44"/>
      <c r="AH63" s="44"/>
      <c r="AI63" s="44"/>
      <c r="AJ63" s="44"/>
      <c r="AK63" s="44"/>
      <c r="AL63" s="44"/>
      <c r="AM63" s="44"/>
      <c r="AN63" s="44"/>
      <c r="AO63" s="44">
        <v>1709</v>
      </c>
      <c r="AP63" s="44"/>
      <c r="AQ63" s="44"/>
      <c r="AR63" s="44"/>
      <c r="AS63" s="44"/>
      <c r="AT63" s="44"/>
      <c r="AU63" s="46"/>
      <c r="AV63" s="44"/>
      <c r="AW63" s="44"/>
      <c r="AX63" s="44"/>
      <c r="AY63" s="44"/>
      <c r="AZ63" s="44"/>
      <c r="BA63" s="44">
        <v>697</v>
      </c>
      <c r="BB63" s="44"/>
      <c r="BC63" s="44">
        <v>296</v>
      </c>
      <c r="BD63" s="44"/>
      <c r="BE63" s="44"/>
      <c r="BF63" s="44"/>
      <c r="BG63" s="44"/>
      <c r="BH63" s="44">
        <v>247</v>
      </c>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f t="shared" si="5"/>
        <v>0</v>
      </c>
      <c r="CW63" s="44">
        <f t="shared" si="6"/>
        <v>40</v>
      </c>
      <c r="CX63" s="47">
        <f t="shared" si="7"/>
        <v>1726.5999999999997</v>
      </c>
      <c r="CY63" s="47">
        <v>17.600000000000001</v>
      </c>
      <c r="CZ63" s="31">
        <f t="shared" si="15"/>
        <v>0</v>
      </c>
      <c r="DA63" s="88" t="s">
        <v>404</v>
      </c>
      <c r="DB63" s="44">
        <v>1709</v>
      </c>
      <c r="DC63" s="39"/>
      <c r="DD63" s="40"/>
      <c r="DE63" s="40"/>
      <c r="DF63" s="40"/>
      <c r="DG63" s="49"/>
      <c r="DH63" s="57" t="s">
        <v>290</v>
      </c>
      <c r="DI63" s="1" t="s">
        <v>508</v>
      </c>
      <c r="DJ63" s="2" t="s">
        <v>510</v>
      </c>
      <c r="DK63" s="49">
        <v>1708.9999999999998</v>
      </c>
      <c r="DL63" s="71">
        <f t="shared" si="16"/>
        <v>4.7472222222222218</v>
      </c>
      <c r="DM63" s="68">
        <f t="shared" si="8"/>
        <v>128175000</v>
      </c>
      <c r="DN63" s="68">
        <f t="shared" si="9"/>
        <v>384525000</v>
      </c>
      <c r="DO63" s="50">
        <v>7</v>
      </c>
      <c r="DP63" s="33">
        <f t="shared" si="10"/>
        <v>74.563699825479929</v>
      </c>
      <c r="DQ63" s="50">
        <v>12</v>
      </c>
      <c r="DR63" s="69">
        <f t="shared" si="17"/>
        <v>42840000</v>
      </c>
      <c r="DS63" s="49">
        <v>1708.9999999999998</v>
      </c>
      <c r="DT63" s="68">
        <f t="shared" si="18"/>
        <v>51270000</v>
      </c>
      <c r="DU63" s="36">
        <f>17.6+1709</f>
        <v>1726.6</v>
      </c>
      <c r="DV63" s="68">
        <f t="shared" si="19"/>
        <v>17090000</v>
      </c>
      <c r="DW63" s="69">
        <f t="shared" si="11"/>
        <v>623900000</v>
      </c>
      <c r="DX63" s="33">
        <f t="shared" si="12"/>
        <v>0</v>
      </c>
    </row>
    <row r="64" spans="1:128" s="51" customFormat="1" ht="23.25" customHeight="1">
      <c r="A64" s="40">
        <v>58</v>
      </c>
      <c r="B64" s="41" t="s">
        <v>291</v>
      </c>
      <c r="C64" s="56" t="s">
        <v>292</v>
      </c>
      <c r="D64" s="57" t="s">
        <v>292</v>
      </c>
      <c r="E64" s="43" t="s">
        <v>109</v>
      </c>
      <c r="F64" s="40" t="s">
        <v>104</v>
      </c>
      <c r="G64" s="40">
        <v>1293</v>
      </c>
      <c r="H64" s="40">
        <v>49</v>
      </c>
      <c r="I64" s="44">
        <v>1082</v>
      </c>
      <c r="J64" s="56" t="s">
        <v>292</v>
      </c>
      <c r="K64" s="40">
        <v>2</v>
      </c>
      <c r="L64" s="40">
        <v>2</v>
      </c>
      <c r="M64" s="44">
        <f>(K64*486)+(L64*80)</f>
        <v>1132</v>
      </c>
      <c r="N64" s="44"/>
      <c r="O64" s="44"/>
      <c r="P64" s="44">
        <f>Q64*4</f>
        <v>150</v>
      </c>
      <c r="Q64" s="44">
        <v>37.5</v>
      </c>
      <c r="R64" s="44">
        <f>S64*2</f>
        <v>0</v>
      </c>
      <c r="S64" s="44"/>
      <c r="T64" s="44">
        <f>U64+V64</f>
        <v>13</v>
      </c>
      <c r="U64" s="44">
        <v>13</v>
      </c>
      <c r="V64" s="44"/>
      <c r="W64" s="44">
        <f>M64-N64+O64-Q64+P64-S64+R64-T64</f>
        <v>1231.5</v>
      </c>
      <c r="X64" s="29">
        <f t="shared" si="13"/>
        <v>1081.5</v>
      </c>
      <c r="Y64" s="29">
        <f t="shared" si="14"/>
        <v>1081.5</v>
      </c>
      <c r="Z64" s="44">
        <f>SUM(AA64:CW64)</f>
        <v>1231.5</v>
      </c>
      <c r="AA64" s="44"/>
      <c r="AB64" s="44"/>
      <c r="AC64" s="44"/>
      <c r="AD64" s="44"/>
      <c r="AE64" s="44"/>
      <c r="AF64" s="44"/>
      <c r="AG64" s="44"/>
      <c r="AH64" s="44"/>
      <c r="AI64" s="44"/>
      <c r="AJ64" s="44"/>
      <c r="AK64" s="44"/>
      <c r="AL64" s="44"/>
      <c r="AM64" s="44"/>
      <c r="AN64" s="44"/>
      <c r="AO64" s="44">
        <v>1081.5</v>
      </c>
      <c r="AP64" s="44"/>
      <c r="AQ64" s="44"/>
      <c r="AR64" s="44"/>
      <c r="AS64" s="44"/>
      <c r="AT64" s="44"/>
      <c r="AU64" s="46"/>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f t="shared" si="5"/>
        <v>150</v>
      </c>
      <c r="CW64" s="44">
        <f t="shared" si="6"/>
        <v>0</v>
      </c>
      <c r="CX64" s="47">
        <f t="shared" si="7"/>
        <v>1082</v>
      </c>
      <c r="CY64" s="47">
        <v>0</v>
      </c>
      <c r="CZ64" s="31">
        <f t="shared" si="15"/>
        <v>0</v>
      </c>
      <c r="DA64" s="88" t="s">
        <v>404</v>
      </c>
      <c r="DB64" s="44">
        <v>1081.5</v>
      </c>
      <c r="DC64" s="39"/>
      <c r="DD64" s="40"/>
      <c r="DE64" s="40"/>
      <c r="DF64" s="40"/>
      <c r="DG64" s="49"/>
      <c r="DH64" s="57" t="s">
        <v>292</v>
      </c>
      <c r="DI64" s="1" t="s">
        <v>508</v>
      </c>
      <c r="DJ64" s="2" t="s">
        <v>510</v>
      </c>
      <c r="DK64" s="49">
        <v>1082</v>
      </c>
      <c r="DL64" s="71">
        <f t="shared" si="16"/>
        <v>3.0055555555555555</v>
      </c>
      <c r="DM64" s="68">
        <f t="shared" si="8"/>
        <v>81150000</v>
      </c>
      <c r="DN64" s="68">
        <f t="shared" si="9"/>
        <v>243450000</v>
      </c>
      <c r="DO64" s="50">
        <v>2</v>
      </c>
      <c r="DP64" s="33">
        <f t="shared" si="10"/>
        <v>87.860332927324407</v>
      </c>
      <c r="DQ64" s="50">
        <v>12</v>
      </c>
      <c r="DR64" s="69">
        <f t="shared" si="17"/>
        <v>12240000</v>
      </c>
      <c r="DS64" s="49">
        <v>1082</v>
      </c>
      <c r="DT64" s="68">
        <f t="shared" si="18"/>
        <v>32460000</v>
      </c>
      <c r="DU64" s="36">
        <v>1082</v>
      </c>
      <c r="DV64" s="68">
        <f t="shared" si="19"/>
        <v>10820000</v>
      </c>
      <c r="DW64" s="69">
        <f t="shared" si="11"/>
        <v>380120000</v>
      </c>
      <c r="DX64" s="33">
        <f t="shared" si="12"/>
        <v>0</v>
      </c>
    </row>
    <row r="65" spans="1:128" s="58" customFormat="1" ht="102.75" customHeight="1">
      <c r="A65" s="40">
        <v>59</v>
      </c>
      <c r="B65" s="41" t="s">
        <v>293</v>
      </c>
      <c r="C65" s="45" t="s">
        <v>294</v>
      </c>
      <c r="D65" s="88" t="s">
        <v>433</v>
      </c>
      <c r="E65" s="43" t="s">
        <v>153</v>
      </c>
      <c r="F65" s="40" t="s">
        <v>104</v>
      </c>
      <c r="G65" s="40">
        <v>1296</v>
      </c>
      <c r="H65" s="40">
        <v>49</v>
      </c>
      <c r="I65" s="44">
        <v>1012</v>
      </c>
      <c r="J65" s="45" t="s">
        <v>295</v>
      </c>
      <c r="K65" s="40">
        <v>3</v>
      </c>
      <c r="L65" s="40">
        <v>2</v>
      </c>
      <c r="M65" s="44">
        <f t="shared" si="0"/>
        <v>1618</v>
      </c>
      <c r="N65" s="44"/>
      <c r="O65" s="44"/>
      <c r="P65" s="44">
        <f t="shared" si="25"/>
        <v>0</v>
      </c>
      <c r="Q65" s="44"/>
      <c r="R65" s="44">
        <f t="shared" si="21"/>
        <v>5</v>
      </c>
      <c r="S65" s="44">
        <v>2.5</v>
      </c>
      <c r="T65" s="44">
        <f t="shared" si="24"/>
        <v>264</v>
      </c>
      <c r="U65" s="44">
        <v>14</v>
      </c>
      <c r="V65" s="44">
        <v>250</v>
      </c>
      <c r="W65" s="44">
        <f t="shared" si="3"/>
        <v>1356.5</v>
      </c>
      <c r="X65" s="29">
        <f t="shared" si="13"/>
        <v>1601.5</v>
      </c>
      <c r="Y65" s="29">
        <f t="shared" si="14"/>
        <v>1601.5</v>
      </c>
      <c r="Z65" s="44">
        <f t="shared" si="26"/>
        <v>1606.5</v>
      </c>
      <c r="AA65" s="44"/>
      <c r="AB65" s="44"/>
      <c r="AC65" s="44"/>
      <c r="AD65" s="44"/>
      <c r="AE65" s="44"/>
      <c r="AF65" s="44"/>
      <c r="AG65" s="44"/>
      <c r="AH65" s="44"/>
      <c r="AI65" s="44"/>
      <c r="AJ65" s="44"/>
      <c r="AK65" s="44"/>
      <c r="AL65" s="44"/>
      <c r="AM65" s="44"/>
      <c r="AN65" s="44"/>
      <c r="AO65" s="44">
        <v>1012</v>
      </c>
      <c r="AP65" s="44"/>
      <c r="AQ65" s="44"/>
      <c r="AR65" s="44"/>
      <c r="AS65" s="44"/>
      <c r="AT65" s="44"/>
      <c r="AU65" s="46"/>
      <c r="AV65" s="44"/>
      <c r="AW65" s="44"/>
      <c r="AX65" s="44"/>
      <c r="AY65" s="44"/>
      <c r="AZ65" s="44"/>
      <c r="BA65" s="44"/>
      <c r="BB65" s="44"/>
      <c r="BC65" s="44">
        <v>339.5</v>
      </c>
      <c r="BD65" s="44"/>
      <c r="BE65" s="44"/>
      <c r="BF65" s="44">
        <v>250</v>
      </c>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f t="shared" si="5"/>
        <v>0</v>
      </c>
      <c r="CW65" s="44">
        <f t="shared" si="6"/>
        <v>5</v>
      </c>
      <c r="CX65" s="47">
        <f t="shared" si="7"/>
        <v>1012</v>
      </c>
      <c r="CY65" s="47">
        <v>0</v>
      </c>
      <c r="CZ65" s="31">
        <f t="shared" si="15"/>
        <v>0</v>
      </c>
      <c r="DA65" s="88" t="s">
        <v>404</v>
      </c>
      <c r="DB65" s="44">
        <v>1012</v>
      </c>
      <c r="DC65" s="39"/>
      <c r="DD65" s="40"/>
      <c r="DE65" s="40"/>
      <c r="DF65" s="40"/>
      <c r="DG65" s="49"/>
      <c r="DH65" s="45" t="s">
        <v>530</v>
      </c>
      <c r="DI65" s="1" t="s">
        <v>508</v>
      </c>
      <c r="DJ65" s="2" t="s">
        <v>510</v>
      </c>
      <c r="DK65" s="49">
        <v>1012</v>
      </c>
      <c r="DL65" s="71">
        <f t="shared" si="16"/>
        <v>2.8111111111111109</v>
      </c>
      <c r="DM65" s="68">
        <f t="shared" si="8"/>
        <v>75900000</v>
      </c>
      <c r="DN65" s="68">
        <f t="shared" si="9"/>
        <v>227700000</v>
      </c>
      <c r="DO65" s="50">
        <v>1</v>
      </c>
      <c r="DP65" s="33">
        <f t="shared" si="10"/>
        <v>74.603759675635828</v>
      </c>
      <c r="DQ65" s="50">
        <v>12</v>
      </c>
      <c r="DR65" s="69">
        <f t="shared" si="17"/>
        <v>6120000</v>
      </c>
      <c r="DS65" s="49">
        <v>1012</v>
      </c>
      <c r="DT65" s="68">
        <f t="shared" si="18"/>
        <v>30360000</v>
      </c>
      <c r="DU65" s="36">
        <v>1012</v>
      </c>
      <c r="DV65" s="68">
        <f t="shared" si="19"/>
        <v>10120000</v>
      </c>
      <c r="DW65" s="69">
        <f t="shared" si="11"/>
        <v>350200000</v>
      </c>
      <c r="DX65" s="33">
        <f t="shared" si="12"/>
        <v>0</v>
      </c>
    </row>
    <row r="66" spans="1:128" s="51" customFormat="1" ht="32.25" customHeight="1">
      <c r="A66" s="40">
        <v>60</v>
      </c>
      <c r="B66" s="41" t="s">
        <v>296</v>
      </c>
      <c r="C66" s="39" t="s">
        <v>297</v>
      </c>
      <c r="D66" s="39" t="s">
        <v>466</v>
      </c>
      <c r="E66" s="43" t="s">
        <v>109</v>
      </c>
      <c r="F66" s="40" t="s">
        <v>104</v>
      </c>
      <c r="G66" s="40">
        <v>1297</v>
      </c>
      <c r="H66" s="40">
        <v>49</v>
      </c>
      <c r="I66" s="44">
        <f>12.1+966</f>
        <v>978.1</v>
      </c>
      <c r="J66" s="56" t="s">
        <v>298</v>
      </c>
      <c r="K66" s="40">
        <v>2</v>
      </c>
      <c r="L66" s="40">
        <v>3</v>
      </c>
      <c r="M66" s="44">
        <f t="shared" si="0"/>
        <v>1212</v>
      </c>
      <c r="N66" s="44"/>
      <c r="O66" s="44"/>
      <c r="P66" s="44">
        <f t="shared" si="25"/>
        <v>0</v>
      </c>
      <c r="Q66" s="44"/>
      <c r="R66" s="44">
        <f t="shared" si="21"/>
        <v>0</v>
      </c>
      <c r="S66" s="44"/>
      <c r="T66" s="44">
        <f t="shared" si="24"/>
        <v>13</v>
      </c>
      <c r="U66" s="44">
        <v>13</v>
      </c>
      <c r="V66" s="44"/>
      <c r="W66" s="44">
        <f t="shared" si="3"/>
        <v>1199</v>
      </c>
      <c r="X66" s="29">
        <f t="shared" si="13"/>
        <v>1199</v>
      </c>
      <c r="Y66" s="29">
        <f t="shared" si="14"/>
        <v>1199</v>
      </c>
      <c r="Z66" s="44">
        <f t="shared" si="26"/>
        <v>1199</v>
      </c>
      <c r="AA66" s="44"/>
      <c r="AB66" s="44"/>
      <c r="AC66" s="44"/>
      <c r="AD66" s="44"/>
      <c r="AE66" s="44"/>
      <c r="AF66" s="44"/>
      <c r="AG66" s="44"/>
      <c r="AH66" s="44"/>
      <c r="AI66" s="44"/>
      <c r="AJ66" s="44"/>
      <c r="AK66" s="44"/>
      <c r="AL66" s="44"/>
      <c r="AM66" s="44"/>
      <c r="AN66" s="44"/>
      <c r="AO66" s="44">
        <v>968</v>
      </c>
      <c r="AP66" s="44"/>
      <c r="AQ66" s="44"/>
      <c r="AR66" s="44"/>
      <c r="AS66" s="44"/>
      <c r="AT66" s="44"/>
      <c r="AU66" s="46"/>
      <c r="AV66" s="44"/>
      <c r="AW66" s="44"/>
      <c r="AX66" s="44"/>
      <c r="AY66" s="44"/>
      <c r="AZ66" s="44"/>
      <c r="BA66" s="44"/>
      <c r="BB66" s="44"/>
      <c r="BC66" s="44">
        <v>231</v>
      </c>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f t="shared" si="5"/>
        <v>0</v>
      </c>
      <c r="CW66" s="44">
        <f t="shared" si="6"/>
        <v>0</v>
      </c>
      <c r="CX66" s="47">
        <f t="shared" si="7"/>
        <v>978.1</v>
      </c>
      <c r="CY66" s="47">
        <v>10.1</v>
      </c>
      <c r="CZ66" s="31">
        <f t="shared" si="15"/>
        <v>0</v>
      </c>
      <c r="DA66" s="88" t="s">
        <v>404</v>
      </c>
      <c r="DB66" s="44">
        <v>968</v>
      </c>
      <c r="DC66" s="39"/>
      <c r="DD66" s="40"/>
      <c r="DE66" s="40"/>
      <c r="DF66" s="40"/>
      <c r="DG66" s="49"/>
      <c r="DH66" s="39" t="s">
        <v>466</v>
      </c>
      <c r="DI66" s="1" t="s">
        <v>508</v>
      </c>
      <c r="DJ66" s="2" t="s">
        <v>510</v>
      </c>
      <c r="DK66" s="49">
        <v>968</v>
      </c>
      <c r="DL66" s="71">
        <f t="shared" si="16"/>
        <v>2.6888888888888891</v>
      </c>
      <c r="DM66" s="68">
        <f t="shared" si="8"/>
        <v>72600000</v>
      </c>
      <c r="DN66" s="68">
        <f t="shared" si="9"/>
        <v>217800000</v>
      </c>
      <c r="DO66" s="50">
        <v>4</v>
      </c>
      <c r="DP66" s="33">
        <f t="shared" si="10"/>
        <v>80.733944954128447</v>
      </c>
      <c r="DQ66" s="50">
        <v>12</v>
      </c>
      <c r="DR66" s="69">
        <f t="shared" si="17"/>
        <v>24480000</v>
      </c>
      <c r="DS66" s="49">
        <v>968</v>
      </c>
      <c r="DT66" s="68">
        <f t="shared" si="18"/>
        <v>29040000</v>
      </c>
      <c r="DU66" s="36">
        <f>12.1+966</f>
        <v>978.1</v>
      </c>
      <c r="DV66" s="68">
        <f t="shared" si="19"/>
        <v>9680000</v>
      </c>
      <c r="DW66" s="69">
        <f t="shared" si="11"/>
        <v>353600000</v>
      </c>
      <c r="DX66" s="33">
        <f t="shared" si="12"/>
        <v>0</v>
      </c>
    </row>
    <row r="67" spans="1:128" s="51" customFormat="1" ht="30" customHeight="1">
      <c r="A67" s="40">
        <v>61</v>
      </c>
      <c r="B67" s="41" t="s">
        <v>299</v>
      </c>
      <c r="C67" s="39" t="s">
        <v>300</v>
      </c>
      <c r="D67" s="39" t="s">
        <v>467</v>
      </c>
      <c r="E67" s="43" t="s">
        <v>109</v>
      </c>
      <c r="F67" s="40" t="s">
        <v>104</v>
      </c>
      <c r="G67" s="40">
        <v>1298</v>
      </c>
      <c r="H67" s="40">
        <v>49</v>
      </c>
      <c r="I67" s="44">
        <f>13.6+367</f>
        <v>380.6</v>
      </c>
      <c r="J67" s="56" t="s">
        <v>301</v>
      </c>
      <c r="K67" s="40">
        <v>1</v>
      </c>
      <c r="L67" s="40">
        <v>2</v>
      </c>
      <c r="M67" s="44">
        <f t="shared" si="0"/>
        <v>646</v>
      </c>
      <c r="N67" s="44"/>
      <c r="O67" s="44"/>
      <c r="P67" s="44">
        <f t="shared" si="25"/>
        <v>0</v>
      </c>
      <c r="Q67" s="44"/>
      <c r="R67" s="44">
        <f t="shared" si="21"/>
        <v>0</v>
      </c>
      <c r="S67" s="44"/>
      <c r="T67" s="44">
        <f t="shared" si="24"/>
        <v>279</v>
      </c>
      <c r="U67" s="44">
        <v>5</v>
      </c>
      <c r="V67" s="44">
        <v>274</v>
      </c>
      <c r="W67" s="44">
        <f t="shared" si="3"/>
        <v>367</v>
      </c>
      <c r="X67" s="29">
        <f t="shared" si="13"/>
        <v>641</v>
      </c>
      <c r="Y67" s="29">
        <f t="shared" si="14"/>
        <v>641</v>
      </c>
      <c r="Z67" s="44">
        <f t="shared" si="26"/>
        <v>641</v>
      </c>
      <c r="AA67" s="44"/>
      <c r="AB67" s="44"/>
      <c r="AC67" s="44"/>
      <c r="AD67" s="44"/>
      <c r="AE67" s="44"/>
      <c r="AF67" s="44"/>
      <c r="AG67" s="44"/>
      <c r="AH67" s="44"/>
      <c r="AI67" s="44"/>
      <c r="AJ67" s="44"/>
      <c r="AK67" s="44"/>
      <c r="AL67" s="44"/>
      <c r="AM67" s="44"/>
      <c r="AN67" s="44"/>
      <c r="AO67" s="44">
        <v>367</v>
      </c>
      <c r="AP67" s="44"/>
      <c r="AQ67" s="44"/>
      <c r="AR67" s="44"/>
      <c r="AS67" s="44"/>
      <c r="AT67" s="44"/>
      <c r="AU67" s="46"/>
      <c r="AV67" s="44"/>
      <c r="AW67" s="44"/>
      <c r="AX67" s="44"/>
      <c r="AY67" s="44"/>
      <c r="AZ67" s="44"/>
      <c r="BA67" s="44"/>
      <c r="BB67" s="44"/>
      <c r="BC67" s="44">
        <v>274</v>
      </c>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f t="shared" si="5"/>
        <v>0</v>
      </c>
      <c r="CW67" s="44">
        <f t="shared" si="6"/>
        <v>0</v>
      </c>
      <c r="CX67" s="47">
        <f t="shared" si="7"/>
        <v>380.6</v>
      </c>
      <c r="CY67" s="47">
        <v>13.6</v>
      </c>
      <c r="CZ67" s="31">
        <f t="shared" si="15"/>
        <v>0</v>
      </c>
      <c r="DA67" s="88" t="s">
        <v>404</v>
      </c>
      <c r="DB67" s="44">
        <v>367</v>
      </c>
      <c r="DC67" s="39"/>
      <c r="DD67" s="40"/>
      <c r="DE67" s="40"/>
      <c r="DF67" s="40"/>
      <c r="DG67" s="49"/>
      <c r="DH67" s="39" t="s">
        <v>467</v>
      </c>
      <c r="DI67" s="1" t="s">
        <v>508</v>
      </c>
      <c r="DJ67" s="2" t="s">
        <v>510</v>
      </c>
      <c r="DK67" s="49">
        <v>367</v>
      </c>
      <c r="DL67" s="71">
        <f t="shared" si="16"/>
        <v>1.0194444444444444</v>
      </c>
      <c r="DM67" s="68">
        <f t="shared" si="8"/>
        <v>27525000</v>
      </c>
      <c r="DN67" s="68">
        <f t="shared" si="9"/>
        <v>82575000</v>
      </c>
      <c r="DO67" s="50">
        <v>3</v>
      </c>
      <c r="DP67" s="33">
        <f t="shared" si="10"/>
        <v>100</v>
      </c>
      <c r="DQ67" s="50">
        <v>12</v>
      </c>
      <c r="DR67" s="69">
        <f t="shared" si="17"/>
        <v>18360000</v>
      </c>
      <c r="DS67" s="49">
        <v>367</v>
      </c>
      <c r="DT67" s="68">
        <f t="shared" si="18"/>
        <v>11010000</v>
      </c>
      <c r="DU67" s="36">
        <f>13.6+367</f>
        <v>380.6</v>
      </c>
      <c r="DV67" s="68">
        <f t="shared" si="19"/>
        <v>3670000</v>
      </c>
      <c r="DW67" s="69">
        <f t="shared" si="11"/>
        <v>143140000</v>
      </c>
      <c r="DX67" s="33">
        <f t="shared" si="12"/>
        <v>0</v>
      </c>
    </row>
    <row r="68" spans="1:128" s="51" customFormat="1" ht="36.6" customHeight="1">
      <c r="A68" s="40">
        <v>62</v>
      </c>
      <c r="B68" s="41" t="s">
        <v>302</v>
      </c>
      <c r="C68" s="39" t="s">
        <v>303</v>
      </c>
      <c r="D68" s="39" t="s">
        <v>468</v>
      </c>
      <c r="E68" s="43" t="s">
        <v>109</v>
      </c>
      <c r="F68" s="40" t="s">
        <v>104</v>
      </c>
      <c r="G68" s="40">
        <v>1300</v>
      </c>
      <c r="H68" s="40">
        <v>49</v>
      </c>
      <c r="I68" s="44">
        <f>23.4+929</f>
        <v>952.4</v>
      </c>
      <c r="J68" s="56" t="s">
        <v>304</v>
      </c>
      <c r="K68" s="40">
        <v>2</v>
      </c>
      <c r="L68" s="40">
        <v>0</v>
      </c>
      <c r="M68" s="44">
        <f t="shared" si="0"/>
        <v>972</v>
      </c>
      <c r="N68" s="44"/>
      <c r="O68" s="44"/>
      <c r="P68" s="44">
        <f t="shared" si="25"/>
        <v>0</v>
      </c>
      <c r="Q68" s="44"/>
      <c r="R68" s="44">
        <f t="shared" si="21"/>
        <v>0</v>
      </c>
      <c r="S68" s="44"/>
      <c r="T68" s="44">
        <f t="shared" si="24"/>
        <v>12</v>
      </c>
      <c r="U68" s="44">
        <v>12</v>
      </c>
      <c r="V68" s="44"/>
      <c r="W68" s="44">
        <f t="shared" si="3"/>
        <v>960</v>
      </c>
      <c r="X68" s="29">
        <f t="shared" si="13"/>
        <v>960</v>
      </c>
      <c r="Y68" s="29">
        <f t="shared" si="14"/>
        <v>960</v>
      </c>
      <c r="Z68" s="44">
        <f t="shared" si="26"/>
        <v>960</v>
      </c>
      <c r="AA68" s="44"/>
      <c r="AB68" s="44"/>
      <c r="AC68" s="44"/>
      <c r="AD68" s="44"/>
      <c r="AE68" s="44"/>
      <c r="AF68" s="44"/>
      <c r="AG68" s="44"/>
      <c r="AH68" s="44"/>
      <c r="AI68" s="44"/>
      <c r="AJ68" s="44"/>
      <c r="AK68" s="44"/>
      <c r="AL68" s="44"/>
      <c r="AM68" s="44"/>
      <c r="AN68" s="44"/>
      <c r="AO68" s="44">
        <v>929</v>
      </c>
      <c r="AP68" s="44"/>
      <c r="AQ68" s="44"/>
      <c r="AR68" s="44"/>
      <c r="AS68" s="44"/>
      <c r="AT68" s="44"/>
      <c r="AU68" s="46"/>
      <c r="AV68" s="44"/>
      <c r="AW68" s="44"/>
      <c r="AX68" s="44"/>
      <c r="AY68" s="44"/>
      <c r="AZ68" s="44"/>
      <c r="BA68" s="44"/>
      <c r="BB68" s="44"/>
      <c r="BC68" s="44">
        <v>31</v>
      </c>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f t="shared" si="5"/>
        <v>0</v>
      </c>
      <c r="CW68" s="44">
        <f t="shared" si="6"/>
        <v>0</v>
      </c>
      <c r="CX68" s="47">
        <f t="shared" si="7"/>
        <v>952.40000000000009</v>
      </c>
      <c r="CY68" s="47">
        <v>23.4</v>
      </c>
      <c r="CZ68" s="31">
        <f t="shared" si="15"/>
        <v>0</v>
      </c>
      <c r="DA68" s="88" t="s">
        <v>404</v>
      </c>
      <c r="DB68" s="44">
        <v>929</v>
      </c>
      <c r="DC68" s="39"/>
      <c r="DD68" s="40"/>
      <c r="DE68" s="40"/>
      <c r="DF68" s="40"/>
      <c r="DG68" s="49"/>
      <c r="DH68" s="39" t="s">
        <v>468</v>
      </c>
      <c r="DI68" s="1" t="s">
        <v>508</v>
      </c>
      <c r="DJ68" s="2" t="s">
        <v>510</v>
      </c>
      <c r="DK68" s="49">
        <v>929.00000000000011</v>
      </c>
      <c r="DL68" s="71">
        <f t="shared" si="16"/>
        <v>2.5805555555555557</v>
      </c>
      <c r="DM68" s="68">
        <f t="shared" si="8"/>
        <v>69675000</v>
      </c>
      <c r="DN68" s="68">
        <f t="shared" si="9"/>
        <v>209025000</v>
      </c>
      <c r="DO68" s="50">
        <v>2</v>
      </c>
      <c r="DP68" s="33">
        <f t="shared" si="10"/>
        <v>96.770833333333357</v>
      </c>
      <c r="DQ68" s="50">
        <v>12</v>
      </c>
      <c r="DR68" s="69">
        <f t="shared" si="17"/>
        <v>12240000</v>
      </c>
      <c r="DS68" s="49">
        <v>929.00000000000011</v>
      </c>
      <c r="DT68" s="68">
        <f t="shared" si="18"/>
        <v>27870000</v>
      </c>
      <c r="DU68" s="36">
        <f>23.4+929</f>
        <v>952.4</v>
      </c>
      <c r="DV68" s="68">
        <f t="shared" si="19"/>
        <v>9290000</v>
      </c>
      <c r="DW68" s="69">
        <f t="shared" si="11"/>
        <v>328100000</v>
      </c>
      <c r="DX68" s="33">
        <f t="shared" si="12"/>
        <v>0</v>
      </c>
    </row>
    <row r="69" spans="1:128" s="51" customFormat="1" ht="33" customHeight="1">
      <c r="A69" s="40">
        <v>63</v>
      </c>
      <c r="B69" s="41" t="s">
        <v>305</v>
      </c>
      <c r="C69" s="45" t="s">
        <v>306</v>
      </c>
      <c r="D69" s="88" t="s">
        <v>434</v>
      </c>
      <c r="E69" s="43" t="s">
        <v>109</v>
      </c>
      <c r="F69" s="40" t="s">
        <v>104</v>
      </c>
      <c r="G69" s="40">
        <v>1301</v>
      </c>
      <c r="H69" s="40">
        <v>49</v>
      </c>
      <c r="I69" s="44">
        <f>30.2+1436</f>
        <v>1466.2</v>
      </c>
      <c r="J69" s="45" t="s">
        <v>307</v>
      </c>
      <c r="K69" s="40">
        <v>3</v>
      </c>
      <c r="L69" s="40">
        <v>4</v>
      </c>
      <c r="M69" s="44">
        <f t="shared" si="0"/>
        <v>1778</v>
      </c>
      <c r="N69" s="44"/>
      <c r="O69" s="44"/>
      <c r="P69" s="44">
        <f t="shared" si="25"/>
        <v>0</v>
      </c>
      <c r="Q69" s="44"/>
      <c r="R69" s="44">
        <f t="shared" si="21"/>
        <v>0</v>
      </c>
      <c r="S69" s="44"/>
      <c r="T69" s="44">
        <f t="shared" si="24"/>
        <v>18</v>
      </c>
      <c r="U69" s="44">
        <v>18</v>
      </c>
      <c r="V69" s="44"/>
      <c r="W69" s="44">
        <f t="shared" si="3"/>
        <v>1760</v>
      </c>
      <c r="X69" s="29">
        <f t="shared" si="13"/>
        <v>1760</v>
      </c>
      <c r="Y69" s="29">
        <f t="shared" si="14"/>
        <v>1760</v>
      </c>
      <c r="Z69" s="44">
        <f t="shared" si="26"/>
        <v>1760</v>
      </c>
      <c r="AA69" s="44"/>
      <c r="AB69" s="44"/>
      <c r="AC69" s="44"/>
      <c r="AD69" s="44"/>
      <c r="AE69" s="44"/>
      <c r="AF69" s="44"/>
      <c r="AG69" s="44"/>
      <c r="AH69" s="44"/>
      <c r="AI69" s="44"/>
      <c r="AJ69" s="44"/>
      <c r="AK69" s="44"/>
      <c r="AL69" s="44"/>
      <c r="AM69" s="44"/>
      <c r="AN69" s="44">
        <v>1436</v>
      </c>
      <c r="AO69" s="44"/>
      <c r="AP69" s="44"/>
      <c r="AQ69" s="44"/>
      <c r="AR69" s="44"/>
      <c r="AS69" s="44"/>
      <c r="AT69" s="44"/>
      <c r="AU69" s="46"/>
      <c r="AV69" s="44"/>
      <c r="AW69" s="44"/>
      <c r="AX69" s="44"/>
      <c r="AY69" s="44"/>
      <c r="AZ69" s="44"/>
      <c r="BA69" s="44"/>
      <c r="BB69" s="44"/>
      <c r="BC69" s="44"/>
      <c r="BD69" s="44">
        <v>324</v>
      </c>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f t="shared" si="5"/>
        <v>0</v>
      </c>
      <c r="CW69" s="44">
        <f t="shared" si="6"/>
        <v>0</v>
      </c>
      <c r="CX69" s="47">
        <f t="shared" si="7"/>
        <v>1466.2</v>
      </c>
      <c r="CY69" s="47">
        <v>30.2</v>
      </c>
      <c r="CZ69" s="31">
        <f t="shared" si="15"/>
        <v>0</v>
      </c>
      <c r="DA69" s="88" t="s">
        <v>404</v>
      </c>
      <c r="DB69" s="44">
        <v>1436</v>
      </c>
      <c r="DC69" s="39"/>
      <c r="DD69" s="40"/>
      <c r="DE69" s="40"/>
      <c r="DF69" s="40"/>
      <c r="DG69" s="49"/>
      <c r="DH69" s="45" t="s">
        <v>521</v>
      </c>
      <c r="DI69" s="1" t="s">
        <v>508</v>
      </c>
      <c r="DJ69" s="2" t="s">
        <v>510</v>
      </c>
      <c r="DK69" s="49">
        <v>1436</v>
      </c>
      <c r="DL69" s="71">
        <f t="shared" si="16"/>
        <v>3.9888888888888889</v>
      </c>
      <c r="DM69" s="68">
        <f t="shared" si="8"/>
        <v>107700000</v>
      </c>
      <c r="DN69" s="68">
        <f t="shared" si="9"/>
        <v>323100000</v>
      </c>
      <c r="DO69" s="50">
        <v>3</v>
      </c>
      <c r="DP69" s="33">
        <f t="shared" si="10"/>
        <v>81.590909090909093</v>
      </c>
      <c r="DQ69" s="50">
        <v>12</v>
      </c>
      <c r="DR69" s="69">
        <f t="shared" si="17"/>
        <v>18360000</v>
      </c>
      <c r="DS69" s="49">
        <v>1436</v>
      </c>
      <c r="DT69" s="68">
        <f t="shared" si="18"/>
        <v>43080000</v>
      </c>
      <c r="DU69" s="36">
        <f>30.2+1436</f>
        <v>1466.2</v>
      </c>
      <c r="DV69" s="68">
        <f t="shared" si="19"/>
        <v>14360000</v>
      </c>
      <c r="DW69" s="69">
        <f t="shared" si="11"/>
        <v>506600000</v>
      </c>
      <c r="DX69" s="33">
        <f t="shared" si="12"/>
        <v>0</v>
      </c>
    </row>
    <row r="70" spans="1:128" s="51" customFormat="1" ht="36" customHeight="1">
      <c r="A70" s="40">
        <v>64</v>
      </c>
      <c r="B70" s="41" t="s">
        <v>308</v>
      </c>
      <c r="C70" s="39" t="s">
        <v>309</v>
      </c>
      <c r="D70" s="88" t="s">
        <v>491</v>
      </c>
      <c r="E70" s="43" t="s">
        <v>109</v>
      </c>
      <c r="F70" s="43" t="s">
        <v>104</v>
      </c>
      <c r="G70" s="40">
        <v>1305</v>
      </c>
      <c r="H70" s="40">
        <v>49</v>
      </c>
      <c r="I70" s="44">
        <f>3+606</f>
        <v>609</v>
      </c>
      <c r="J70" s="52" t="s">
        <v>310</v>
      </c>
      <c r="K70" s="40">
        <v>2</v>
      </c>
      <c r="L70" s="40">
        <v>2</v>
      </c>
      <c r="M70" s="44">
        <f>(K70*486)+(L70*80)</f>
        <v>1132</v>
      </c>
      <c r="N70" s="44"/>
      <c r="O70" s="44"/>
      <c r="P70" s="44">
        <f>Q70*4</f>
        <v>0</v>
      </c>
      <c r="Q70" s="44"/>
      <c r="R70" s="44">
        <f>S70*2</f>
        <v>0</v>
      </c>
      <c r="S70" s="44"/>
      <c r="T70" s="44">
        <f>U70+V70</f>
        <v>526</v>
      </c>
      <c r="U70" s="44">
        <v>8</v>
      </c>
      <c r="V70" s="44">
        <f>370+148</f>
        <v>518</v>
      </c>
      <c r="W70" s="44">
        <f>M70-N70+O70-Q70+P70-S70+R70-T70</f>
        <v>606</v>
      </c>
      <c r="X70" s="29">
        <f t="shared" si="13"/>
        <v>1124</v>
      </c>
      <c r="Y70" s="29">
        <f t="shared" si="14"/>
        <v>1124</v>
      </c>
      <c r="Z70" s="44">
        <f>SUM(AA70:CW70)</f>
        <v>1124</v>
      </c>
      <c r="AA70" s="44"/>
      <c r="AB70" s="44"/>
      <c r="AC70" s="44"/>
      <c r="AD70" s="44"/>
      <c r="AE70" s="44"/>
      <c r="AF70" s="44"/>
      <c r="AG70" s="44"/>
      <c r="AH70" s="44"/>
      <c r="AI70" s="44"/>
      <c r="AJ70" s="44"/>
      <c r="AK70" s="44"/>
      <c r="AL70" s="44"/>
      <c r="AM70" s="44"/>
      <c r="AN70" s="44"/>
      <c r="AO70" s="44">
        <v>606</v>
      </c>
      <c r="AP70" s="44"/>
      <c r="AQ70" s="44"/>
      <c r="AR70" s="44"/>
      <c r="AS70" s="44"/>
      <c r="AT70" s="44"/>
      <c r="AU70" s="46"/>
      <c r="AV70" s="44"/>
      <c r="AW70" s="44"/>
      <c r="AX70" s="44"/>
      <c r="AY70" s="44"/>
      <c r="AZ70" s="44"/>
      <c r="BA70" s="44"/>
      <c r="BB70" s="44"/>
      <c r="BC70" s="44"/>
      <c r="BD70" s="44"/>
      <c r="BE70" s="44"/>
      <c r="BF70" s="44">
        <v>148</v>
      </c>
      <c r="BG70" s="44"/>
      <c r="BH70" s="44">
        <v>370</v>
      </c>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f t="shared" si="5"/>
        <v>0</v>
      </c>
      <c r="CW70" s="44">
        <f t="shared" si="6"/>
        <v>0</v>
      </c>
      <c r="CX70" s="47">
        <f t="shared" si="7"/>
        <v>609</v>
      </c>
      <c r="CY70" s="47">
        <v>3</v>
      </c>
      <c r="CZ70" s="31">
        <f t="shared" si="15"/>
        <v>0</v>
      </c>
      <c r="DA70" s="88" t="s">
        <v>404</v>
      </c>
      <c r="DB70" s="44">
        <v>606</v>
      </c>
      <c r="DC70" s="39"/>
      <c r="DD70" s="40"/>
      <c r="DE70" s="40"/>
      <c r="DF70" s="40"/>
      <c r="DG70" s="49"/>
      <c r="DH70" s="45" t="s">
        <v>522</v>
      </c>
      <c r="DI70" s="1" t="s">
        <v>508</v>
      </c>
      <c r="DJ70" s="2" t="s">
        <v>510</v>
      </c>
      <c r="DK70" s="49">
        <v>606</v>
      </c>
      <c r="DL70" s="71">
        <f t="shared" si="16"/>
        <v>1.6833333333333333</v>
      </c>
      <c r="DM70" s="68">
        <f t="shared" si="8"/>
        <v>45450000</v>
      </c>
      <c r="DN70" s="68">
        <f t="shared" si="9"/>
        <v>136350000</v>
      </c>
      <c r="DO70" s="50">
        <v>1</v>
      </c>
      <c r="DP70" s="33">
        <f t="shared" si="10"/>
        <v>100</v>
      </c>
      <c r="DQ70" s="50">
        <v>12</v>
      </c>
      <c r="DR70" s="69">
        <f t="shared" si="17"/>
        <v>6120000</v>
      </c>
      <c r="DS70" s="49">
        <v>606</v>
      </c>
      <c r="DT70" s="68">
        <f t="shared" si="18"/>
        <v>18180000</v>
      </c>
      <c r="DU70" s="36">
        <f>3+606</f>
        <v>609</v>
      </c>
      <c r="DV70" s="68">
        <f t="shared" si="19"/>
        <v>6060000</v>
      </c>
      <c r="DW70" s="69">
        <f t="shared" si="11"/>
        <v>212160000</v>
      </c>
      <c r="DX70" s="33">
        <f t="shared" si="12"/>
        <v>0</v>
      </c>
    </row>
    <row r="71" spans="1:128" s="51" customFormat="1" ht="22.5" customHeight="1">
      <c r="A71" s="40">
        <v>65</v>
      </c>
      <c r="B71" s="41" t="s">
        <v>311</v>
      </c>
      <c r="C71" s="56" t="s">
        <v>312</v>
      </c>
      <c r="D71" s="57" t="s">
        <v>312</v>
      </c>
      <c r="E71" s="43" t="s">
        <v>109</v>
      </c>
      <c r="F71" s="40" t="s">
        <v>104</v>
      </c>
      <c r="G71" s="40">
        <v>1307</v>
      </c>
      <c r="H71" s="40">
        <v>49</v>
      </c>
      <c r="I71" s="44">
        <v>789</v>
      </c>
      <c r="J71" s="56" t="s">
        <v>313</v>
      </c>
      <c r="K71" s="40">
        <v>3</v>
      </c>
      <c r="L71" s="40">
        <v>2</v>
      </c>
      <c r="M71" s="44">
        <f t="shared" ref="M71:M98" si="28">(K71*486)+(L71*80)</f>
        <v>1618</v>
      </c>
      <c r="N71" s="44"/>
      <c r="O71" s="44"/>
      <c r="P71" s="44">
        <f t="shared" si="25"/>
        <v>0</v>
      </c>
      <c r="Q71" s="44"/>
      <c r="R71" s="44">
        <f t="shared" si="21"/>
        <v>0</v>
      </c>
      <c r="S71" s="44"/>
      <c r="T71" s="44">
        <f t="shared" si="24"/>
        <v>10</v>
      </c>
      <c r="U71" s="44">
        <v>10</v>
      </c>
      <c r="V71" s="44"/>
      <c r="W71" s="44">
        <f t="shared" ref="W71:W98" si="29">M71-N71+O71-Q71+P71-S71+R71-T71</f>
        <v>1608</v>
      </c>
      <c r="X71" s="29">
        <f t="shared" si="13"/>
        <v>1608</v>
      </c>
      <c r="Y71" s="29">
        <f t="shared" si="14"/>
        <v>1608</v>
      </c>
      <c r="Z71" s="44">
        <f t="shared" si="26"/>
        <v>1608</v>
      </c>
      <c r="AA71" s="44"/>
      <c r="AB71" s="44"/>
      <c r="AC71" s="44"/>
      <c r="AD71" s="44"/>
      <c r="AE71" s="44"/>
      <c r="AF71" s="44"/>
      <c r="AG71" s="44"/>
      <c r="AH71" s="44"/>
      <c r="AI71" s="44"/>
      <c r="AJ71" s="44"/>
      <c r="AK71" s="44"/>
      <c r="AL71" s="44"/>
      <c r="AM71" s="44"/>
      <c r="AN71" s="44"/>
      <c r="AO71" s="44">
        <v>789</v>
      </c>
      <c r="AP71" s="44"/>
      <c r="AQ71" s="44"/>
      <c r="AR71" s="44"/>
      <c r="AS71" s="44"/>
      <c r="AT71" s="44"/>
      <c r="AU71" s="46"/>
      <c r="AV71" s="44"/>
      <c r="AW71" s="44"/>
      <c r="AX71" s="44"/>
      <c r="AY71" s="44"/>
      <c r="AZ71" s="44"/>
      <c r="BA71" s="44"/>
      <c r="BB71" s="44"/>
      <c r="BC71" s="44"/>
      <c r="BD71" s="44">
        <v>819</v>
      </c>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f t="shared" ref="CV71:CV98" si="30">P71</f>
        <v>0</v>
      </c>
      <c r="CW71" s="44">
        <f t="shared" ref="CW71:CW98" si="31">R71</f>
        <v>0</v>
      </c>
      <c r="CX71" s="47">
        <f t="shared" ref="CX71:CX98" si="32">CY71+DK71</f>
        <v>789</v>
      </c>
      <c r="CY71" s="47">
        <v>0</v>
      </c>
      <c r="CZ71" s="31">
        <f t="shared" si="15"/>
        <v>0</v>
      </c>
      <c r="DA71" s="88" t="s">
        <v>404</v>
      </c>
      <c r="DB71" s="44">
        <v>789</v>
      </c>
      <c r="DC71" s="39"/>
      <c r="DD71" s="40"/>
      <c r="DE71" s="40"/>
      <c r="DF71" s="40"/>
      <c r="DG71" s="49"/>
      <c r="DH71" s="57" t="s">
        <v>312</v>
      </c>
      <c r="DI71" s="1" t="s">
        <v>508</v>
      </c>
      <c r="DJ71" s="2" t="s">
        <v>510</v>
      </c>
      <c r="DK71" s="49">
        <v>789</v>
      </c>
      <c r="DL71" s="71">
        <f t="shared" si="16"/>
        <v>2.1916666666666669</v>
      </c>
      <c r="DM71" s="68">
        <f t="shared" ref="DM71:DM98" si="33">ROUND(DK71*75000,-3)</f>
        <v>59175000</v>
      </c>
      <c r="DN71" s="68">
        <f t="shared" ref="DN71:DN98" si="34">ROUND(DK71*225000,-3)</f>
        <v>177525000</v>
      </c>
      <c r="DO71" s="50">
        <v>3</v>
      </c>
      <c r="DP71" s="33">
        <f t="shared" ref="DP71:DP98" si="35">DK71/W71*100</f>
        <v>49.067164179104481</v>
      </c>
      <c r="DQ71" s="50">
        <v>6</v>
      </c>
      <c r="DR71" s="69">
        <f t="shared" si="17"/>
        <v>9180000</v>
      </c>
      <c r="DS71" s="49">
        <v>789</v>
      </c>
      <c r="DT71" s="68">
        <f t="shared" si="18"/>
        <v>23670000</v>
      </c>
      <c r="DU71" s="36">
        <v>789</v>
      </c>
      <c r="DV71" s="68">
        <f t="shared" si="19"/>
        <v>7890000</v>
      </c>
      <c r="DW71" s="69">
        <f t="shared" ref="DW71:DW98" si="36">DM71+DN71+DR71+DT71+DV71</f>
        <v>277440000</v>
      </c>
      <c r="DX71" s="33">
        <f t="shared" ref="DX71:DX98" si="37">I71-CX71</f>
        <v>0</v>
      </c>
    </row>
    <row r="72" spans="1:128" s="51" customFormat="1" ht="53.25" customHeight="1">
      <c r="A72" s="48">
        <v>66</v>
      </c>
      <c r="B72" s="41" t="s">
        <v>314</v>
      </c>
      <c r="C72" s="39" t="s">
        <v>315</v>
      </c>
      <c r="D72" s="88" t="s">
        <v>435</v>
      </c>
      <c r="E72" s="43" t="s">
        <v>109</v>
      </c>
      <c r="F72" s="40" t="s">
        <v>104</v>
      </c>
      <c r="G72" s="40">
        <v>1310</v>
      </c>
      <c r="H72" s="40">
        <v>49</v>
      </c>
      <c r="I72" s="44">
        <v>1767</v>
      </c>
      <c r="J72" s="45" t="s">
        <v>316</v>
      </c>
      <c r="K72" s="40">
        <v>4</v>
      </c>
      <c r="L72" s="40">
        <v>2</v>
      </c>
      <c r="M72" s="44">
        <f t="shared" si="28"/>
        <v>2104</v>
      </c>
      <c r="N72" s="44"/>
      <c r="O72" s="44"/>
      <c r="P72" s="44">
        <f t="shared" si="25"/>
        <v>0</v>
      </c>
      <c r="Q72" s="44"/>
      <c r="R72" s="44">
        <f t="shared" si="21"/>
        <v>0</v>
      </c>
      <c r="S72" s="44"/>
      <c r="T72" s="44">
        <f t="shared" si="24"/>
        <v>318</v>
      </c>
      <c r="U72" s="44">
        <v>25</v>
      </c>
      <c r="V72" s="44">
        <v>293</v>
      </c>
      <c r="W72" s="44">
        <f t="shared" si="29"/>
        <v>1786</v>
      </c>
      <c r="X72" s="29">
        <f t="shared" ref="X72:X98" si="38">M72-Q72-S72-U72</f>
        <v>2079</v>
      </c>
      <c r="Y72" s="29">
        <f t="shared" ref="Y72:Y98" si="39">SUM(AA72:CU72)</f>
        <v>2079</v>
      </c>
      <c r="Z72" s="44">
        <f t="shared" si="26"/>
        <v>2079</v>
      </c>
      <c r="AA72" s="44"/>
      <c r="AB72" s="44"/>
      <c r="AC72" s="44"/>
      <c r="AD72" s="44"/>
      <c r="AE72" s="44"/>
      <c r="AF72" s="44"/>
      <c r="AG72" s="44"/>
      <c r="AH72" s="44"/>
      <c r="AI72" s="44"/>
      <c r="AJ72" s="44"/>
      <c r="AK72" s="44"/>
      <c r="AL72" s="44"/>
      <c r="AM72" s="44"/>
      <c r="AN72" s="44"/>
      <c r="AO72" s="44">
        <v>1767</v>
      </c>
      <c r="AP72" s="44"/>
      <c r="AQ72" s="44"/>
      <c r="AR72" s="44"/>
      <c r="AS72" s="44"/>
      <c r="AT72" s="44"/>
      <c r="AU72" s="46">
        <v>293</v>
      </c>
      <c r="AV72" s="44"/>
      <c r="AW72" s="44"/>
      <c r="AX72" s="44"/>
      <c r="AY72" s="44"/>
      <c r="AZ72" s="44"/>
      <c r="BA72" s="44"/>
      <c r="BB72" s="44"/>
      <c r="BC72" s="44">
        <v>19</v>
      </c>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f t="shared" si="30"/>
        <v>0</v>
      </c>
      <c r="CW72" s="44">
        <f t="shared" si="31"/>
        <v>0</v>
      </c>
      <c r="CX72" s="47">
        <f t="shared" si="32"/>
        <v>1767</v>
      </c>
      <c r="CY72" s="47">
        <v>0</v>
      </c>
      <c r="CZ72" s="31">
        <f t="shared" ref="CZ72:CZ98" si="40">I72-CX72</f>
        <v>0</v>
      </c>
      <c r="DA72" s="88" t="s">
        <v>404</v>
      </c>
      <c r="DB72" s="44">
        <v>1767</v>
      </c>
      <c r="DC72" s="39"/>
      <c r="DD72" s="40"/>
      <c r="DE72" s="40"/>
      <c r="DF72" s="40"/>
      <c r="DG72" s="49"/>
      <c r="DH72" s="45" t="s">
        <v>518</v>
      </c>
      <c r="DI72" s="1" t="s">
        <v>508</v>
      </c>
      <c r="DJ72" s="2" t="s">
        <v>510</v>
      </c>
      <c r="DK72" s="49">
        <v>1767</v>
      </c>
      <c r="DL72" s="71">
        <f t="shared" ref="DL72:DL98" si="41">DK72/360</f>
        <v>4.9083333333333332</v>
      </c>
      <c r="DM72" s="68">
        <f t="shared" si="33"/>
        <v>132525000</v>
      </c>
      <c r="DN72" s="68">
        <f t="shared" si="34"/>
        <v>397575000</v>
      </c>
      <c r="DO72" s="50">
        <v>2</v>
      </c>
      <c r="DP72" s="33">
        <f t="shared" si="35"/>
        <v>98.936170212765958</v>
      </c>
      <c r="DQ72" s="50">
        <v>12</v>
      </c>
      <c r="DR72" s="69">
        <f t="shared" ref="DR72:DR98" si="42">DO72*DQ72*30*17000</f>
        <v>12240000</v>
      </c>
      <c r="DS72" s="49">
        <v>1767</v>
      </c>
      <c r="DT72" s="68">
        <f t="shared" ref="DT72:DT98" si="43">ROUND(DS72*30000,-3)</f>
        <v>53010000</v>
      </c>
      <c r="DU72" s="36">
        <v>1767</v>
      </c>
      <c r="DV72" s="68">
        <f t="shared" ref="DV72:DV98" si="44">ROUND(DK72*10000,-3)</f>
        <v>17670000</v>
      </c>
      <c r="DW72" s="69">
        <f t="shared" si="36"/>
        <v>613020000</v>
      </c>
      <c r="DX72" s="33">
        <f t="shared" si="37"/>
        <v>0</v>
      </c>
    </row>
    <row r="73" spans="1:128" s="51" customFormat="1" ht="22.5" customHeight="1">
      <c r="A73" s="40">
        <v>67</v>
      </c>
      <c r="B73" s="41" t="s">
        <v>317</v>
      </c>
      <c r="C73" s="39" t="s">
        <v>318</v>
      </c>
      <c r="D73" s="39" t="s">
        <v>320</v>
      </c>
      <c r="E73" s="43" t="s">
        <v>109</v>
      </c>
      <c r="F73" s="40" t="s">
        <v>104</v>
      </c>
      <c r="G73" s="40">
        <v>1311</v>
      </c>
      <c r="H73" s="40">
        <v>49</v>
      </c>
      <c r="I73" s="44">
        <v>1753</v>
      </c>
      <c r="J73" s="45" t="s">
        <v>319</v>
      </c>
      <c r="K73" s="40">
        <v>4</v>
      </c>
      <c r="L73" s="40">
        <v>5</v>
      </c>
      <c r="M73" s="44">
        <f t="shared" si="28"/>
        <v>2344</v>
      </c>
      <c r="N73" s="44"/>
      <c r="O73" s="44"/>
      <c r="P73" s="44">
        <f t="shared" si="25"/>
        <v>140</v>
      </c>
      <c r="Q73" s="44">
        <v>35</v>
      </c>
      <c r="R73" s="44">
        <f t="shared" si="21"/>
        <v>0</v>
      </c>
      <c r="S73" s="44"/>
      <c r="T73" s="44">
        <f t="shared" si="24"/>
        <v>22</v>
      </c>
      <c r="U73" s="44">
        <v>22</v>
      </c>
      <c r="V73" s="44"/>
      <c r="W73" s="44">
        <f t="shared" si="29"/>
        <v>2427</v>
      </c>
      <c r="X73" s="29">
        <f t="shared" si="38"/>
        <v>2287</v>
      </c>
      <c r="Y73" s="29">
        <f t="shared" si="39"/>
        <v>2287</v>
      </c>
      <c r="Z73" s="44">
        <f t="shared" si="26"/>
        <v>2427</v>
      </c>
      <c r="AA73" s="44"/>
      <c r="AB73" s="44"/>
      <c r="AC73" s="44"/>
      <c r="AD73" s="44"/>
      <c r="AE73" s="44"/>
      <c r="AF73" s="44"/>
      <c r="AG73" s="44"/>
      <c r="AH73" s="44"/>
      <c r="AI73" s="44"/>
      <c r="AJ73" s="44"/>
      <c r="AK73" s="44"/>
      <c r="AL73" s="44"/>
      <c r="AM73" s="44"/>
      <c r="AN73" s="44"/>
      <c r="AO73" s="44">
        <v>1753</v>
      </c>
      <c r="AP73" s="44"/>
      <c r="AQ73" s="44"/>
      <c r="AR73" s="44"/>
      <c r="AS73" s="44"/>
      <c r="AT73" s="44"/>
      <c r="AU73" s="46"/>
      <c r="AV73" s="44"/>
      <c r="AW73" s="44"/>
      <c r="AX73" s="44"/>
      <c r="AY73" s="44"/>
      <c r="AZ73" s="44"/>
      <c r="BA73" s="44"/>
      <c r="BB73" s="44"/>
      <c r="BC73" s="44">
        <v>325</v>
      </c>
      <c r="BD73" s="44"/>
      <c r="BE73" s="44"/>
      <c r="BF73" s="44"/>
      <c r="BG73" s="44"/>
      <c r="BH73" s="44">
        <v>209</v>
      </c>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f t="shared" si="30"/>
        <v>140</v>
      </c>
      <c r="CW73" s="44">
        <f t="shared" si="31"/>
        <v>0</v>
      </c>
      <c r="CX73" s="47">
        <f t="shared" si="32"/>
        <v>1753</v>
      </c>
      <c r="CY73" s="47">
        <v>0</v>
      </c>
      <c r="CZ73" s="31">
        <f t="shared" si="40"/>
        <v>0</v>
      </c>
      <c r="DA73" s="88" t="s">
        <v>404</v>
      </c>
      <c r="DB73" s="44">
        <v>1753</v>
      </c>
      <c r="DC73" s="39"/>
      <c r="DD73" s="40"/>
      <c r="DE73" s="40"/>
      <c r="DF73" s="40"/>
      <c r="DG73" s="49"/>
      <c r="DH73" s="39" t="s">
        <v>320</v>
      </c>
      <c r="DI73" s="1" t="s">
        <v>508</v>
      </c>
      <c r="DJ73" s="2" t="s">
        <v>510</v>
      </c>
      <c r="DK73" s="49">
        <v>1753</v>
      </c>
      <c r="DL73" s="71">
        <f t="shared" si="41"/>
        <v>4.8694444444444445</v>
      </c>
      <c r="DM73" s="68">
        <f t="shared" si="33"/>
        <v>131475000</v>
      </c>
      <c r="DN73" s="68">
        <f t="shared" si="34"/>
        <v>394425000</v>
      </c>
      <c r="DO73" s="50">
        <v>9</v>
      </c>
      <c r="DP73" s="33">
        <f t="shared" si="35"/>
        <v>72.229089410795225</v>
      </c>
      <c r="DQ73" s="50">
        <v>12</v>
      </c>
      <c r="DR73" s="69">
        <f t="shared" si="42"/>
        <v>55080000</v>
      </c>
      <c r="DS73" s="49">
        <v>1753</v>
      </c>
      <c r="DT73" s="68">
        <f t="shared" si="43"/>
        <v>52590000</v>
      </c>
      <c r="DU73" s="36">
        <v>1753</v>
      </c>
      <c r="DV73" s="68">
        <f t="shared" si="44"/>
        <v>17530000</v>
      </c>
      <c r="DW73" s="69">
        <f t="shared" si="36"/>
        <v>651100000</v>
      </c>
      <c r="DX73" s="33">
        <f t="shared" si="37"/>
        <v>0</v>
      </c>
    </row>
    <row r="74" spans="1:128" s="51" customFormat="1" ht="34.5" customHeight="1">
      <c r="A74" s="40">
        <v>68</v>
      </c>
      <c r="B74" s="41" t="s">
        <v>321</v>
      </c>
      <c r="C74" s="45" t="s">
        <v>322</v>
      </c>
      <c r="D74" s="45" t="s">
        <v>469</v>
      </c>
      <c r="E74" s="43" t="s">
        <v>109</v>
      </c>
      <c r="F74" s="40" t="s">
        <v>104</v>
      </c>
      <c r="G74" s="40">
        <v>1314</v>
      </c>
      <c r="H74" s="40">
        <v>49</v>
      </c>
      <c r="I74" s="44">
        <v>1447</v>
      </c>
      <c r="J74" s="56" t="s">
        <v>323</v>
      </c>
      <c r="K74" s="40">
        <v>3</v>
      </c>
      <c r="L74" s="40">
        <v>4</v>
      </c>
      <c r="M74" s="44">
        <f t="shared" si="28"/>
        <v>1778</v>
      </c>
      <c r="N74" s="44"/>
      <c r="O74" s="44"/>
      <c r="P74" s="44">
        <f t="shared" si="25"/>
        <v>0</v>
      </c>
      <c r="Q74" s="44"/>
      <c r="R74" s="44">
        <f t="shared" si="21"/>
        <v>0</v>
      </c>
      <c r="S74" s="44"/>
      <c r="T74" s="44">
        <f t="shared" si="24"/>
        <v>18</v>
      </c>
      <c r="U74" s="44">
        <v>18</v>
      </c>
      <c r="V74" s="44"/>
      <c r="W74" s="44">
        <f t="shared" si="29"/>
        <v>1760</v>
      </c>
      <c r="X74" s="29">
        <f t="shared" si="38"/>
        <v>1760</v>
      </c>
      <c r="Y74" s="29">
        <f t="shared" si="39"/>
        <v>1760</v>
      </c>
      <c r="Z74" s="44">
        <f t="shared" si="26"/>
        <v>1760</v>
      </c>
      <c r="AA74" s="44"/>
      <c r="AB74" s="44"/>
      <c r="AC74" s="44"/>
      <c r="AD74" s="44"/>
      <c r="AE74" s="44"/>
      <c r="AF74" s="44"/>
      <c r="AG74" s="44"/>
      <c r="AH74" s="44"/>
      <c r="AI74" s="44"/>
      <c r="AJ74" s="44"/>
      <c r="AK74" s="44"/>
      <c r="AL74" s="44"/>
      <c r="AM74" s="44"/>
      <c r="AN74" s="44"/>
      <c r="AO74" s="44">
        <v>1447</v>
      </c>
      <c r="AP74" s="44"/>
      <c r="AQ74" s="44"/>
      <c r="AR74" s="44"/>
      <c r="AS74" s="44">
        <v>42</v>
      </c>
      <c r="AT74" s="44"/>
      <c r="AU74" s="46"/>
      <c r="AV74" s="44"/>
      <c r="AW74" s="44"/>
      <c r="AX74" s="44"/>
      <c r="AY74" s="44"/>
      <c r="AZ74" s="44"/>
      <c r="BA74" s="44"/>
      <c r="BB74" s="44"/>
      <c r="BC74" s="44">
        <v>110</v>
      </c>
      <c r="BD74" s="44">
        <v>161</v>
      </c>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f t="shared" si="30"/>
        <v>0</v>
      </c>
      <c r="CW74" s="44">
        <f t="shared" si="31"/>
        <v>0</v>
      </c>
      <c r="CX74" s="47">
        <f t="shared" si="32"/>
        <v>1447</v>
      </c>
      <c r="CY74" s="47">
        <v>0</v>
      </c>
      <c r="CZ74" s="31">
        <f t="shared" si="40"/>
        <v>0</v>
      </c>
      <c r="DA74" s="88" t="s">
        <v>404</v>
      </c>
      <c r="DB74" s="44">
        <v>1447</v>
      </c>
      <c r="DC74" s="39"/>
      <c r="DD74" s="40"/>
      <c r="DE74" s="40"/>
      <c r="DF74" s="40"/>
      <c r="DG74" s="49"/>
      <c r="DH74" s="39" t="s">
        <v>469</v>
      </c>
      <c r="DI74" s="1" t="s">
        <v>508</v>
      </c>
      <c r="DJ74" s="2" t="s">
        <v>510</v>
      </c>
      <c r="DK74" s="49">
        <v>1447</v>
      </c>
      <c r="DL74" s="71">
        <f t="shared" si="41"/>
        <v>4.0194444444444448</v>
      </c>
      <c r="DM74" s="68">
        <f t="shared" si="33"/>
        <v>108525000</v>
      </c>
      <c r="DN74" s="68">
        <f t="shared" si="34"/>
        <v>325575000</v>
      </c>
      <c r="DO74" s="50">
        <v>4</v>
      </c>
      <c r="DP74" s="33">
        <f t="shared" si="35"/>
        <v>82.215909090909093</v>
      </c>
      <c r="DQ74" s="50">
        <v>12</v>
      </c>
      <c r="DR74" s="69">
        <f t="shared" si="42"/>
        <v>24480000</v>
      </c>
      <c r="DS74" s="49">
        <v>1447</v>
      </c>
      <c r="DT74" s="68">
        <f t="shared" si="43"/>
        <v>43410000</v>
      </c>
      <c r="DU74" s="36">
        <v>1447</v>
      </c>
      <c r="DV74" s="68">
        <f t="shared" si="44"/>
        <v>14470000</v>
      </c>
      <c r="DW74" s="69">
        <f t="shared" si="36"/>
        <v>516460000</v>
      </c>
      <c r="DX74" s="33">
        <f t="shared" si="37"/>
        <v>0</v>
      </c>
    </row>
    <row r="75" spans="1:128" s="51" customFormat="1" ht="20.25" customHeight="1">
      <c r="A75" s="40">
        <v>69</v>
      </c>
      <c r="B75" s="41" t="s">
        <v>324</v>
      </c>
      <c r="C75" s="39" t="s">
        <v>325</v>
      </c>
      <c r="D75" s="88" t="s">
        <v>436</v>
      </c>
      <c r="E75" s="43" t="s">
        <v>109</v>
      </c>
      <c r="F75" s="40" t="s">
        <v>104</v>
      </c>
      <c r="G75" s="40">
        <v>1315</v>
      </c>
      <c r="H75" s="40">
        <v>49</v>
      </c>
      <c r="I75" s="44">
        <v>553</v>
      </c>
      <c r="J75" s="45" t="s">
        <v>326</v>
      </c>
      <c r="K75" s="40">
        <v>2</v>
      </c>
      <c r="L75" s="40">
        <v>1</v>
      </c>
      <c r="M75" s="44">
        <f t="shared" si="28"/>
        <v>1052</v>
      </c>
      <c r="N75" s="44"/>
      <c r="O75" s="44"/>
      <c r="P75" s="44">
        <v>250</v>
      </c>
      <c r="Q75" s="44">
        <v>62</v>
      </c>
      <c r="R75" s="44">
        <f t="shared" si="21"/>
        <v>0</v>
      </c>
      <c r="S75" s="44"/>
      <c r="T75" s="44">
        <f t="shared" si="24"/>
        <v>7</v>
      </c>
      <c r="U75" s="44">
        <v>7</v>
      </c>
      <c r="V75" s="44"/>
      <c r="W75" s="44">
        <f t="shared" si="29"/>
        <v>1233</v>
      </c>
      <c r="X75" s="29">
        <f t="shared" si="38"/>
        <v>983</v>
      </c>
      <c r="Y75" s="29">
        <f t="shared" si="39"/>
        <v>983</v>
      </c>
      <c r="Z75" s="44">
        <f t="shared" si="26"/>
        <v>1233</v>
      </c>
      <c r="AA75" s="44"/>
      <c r="AB75" s="44"/>
      <c r="AC75" s="44"/>
      <c r="AD75" s="44"/>
      <c r="AE75" s="44"/>
      <c r="AF75" s="44"/>
      <c r="AG75" s="44"/>
      <c r="AH75" s="44"/>
      <c r="AI75" s="44"/>
      <c r="AJ75" s="44"/>
      <c r="AK75" s="44"/>
      <c r="AL75" s="44"/>
      <c r="AM75" s="44"/>
      <c r="AN75" s="44"/>
      <c r="AO75" s="44">
        <v>553</v>
      </c>
      <c r="AP75" s="44"/>
      <c r="AQ75" s="44"/>
      <c r="AR75" s="44"/>
      <c r="AS75" s="44"/>
      <c r="AT75" s="44"/>
      <c r="AU75" s="46"/>
      <c r="AV75" s="44"/>
      <c r="AW75" s="44"/>
      <c r="AX75" s="44"/>
      <c r="AY75" s="44"/>
      <c r="AZ75" s="44"/>
      <c r="BA75" s="44"/>
      <c r="BB75" s="44"/>
      <c r="BC75" s="44">
        <v>430</v>
      </c>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f t="shared" si="30"/>
        <v>250</v>
      </c>
      <c r="CW75" s="44">
        <f t="shared" si="31"/>
        <v>0</v>
      </c>
      <c r="CX75" s="47">
        <f t="shared" si="32"/>
        <v>553</v>
      </c>
      <c r="CY75" s="47">
        <v>0</v>
      </c>
      <c r="CZ75" s="31">
        <f t="shared" si="40"/>
        <v>0</v>
      </c>
      <c r="DA75" s="88" t="s">
        <v>404</v>
      </c>
      <c r="DB75" s="44">
        <v>553</v>
      </c>
      <c r="DC75" s="39"/>
      <c r="DD75" s="40"/>
      <c r="DE75" s="40"/>
      <c r="DF75" s="40"/>
      <c r="DG75" s="49"/>
      <c r="DH75" s="39" t="s">
        <v>436</v>
      </c>
      <c r="DI75" s="1" t="s">
        <v>508</v>
      </c>
      <c r="DJ75" s="2" t="s">
        <v>510</v>
      </c>
      <c r="DK75" s="49">
        <v>553</v>
      </c>
      <c r="DL75" s="71">
        <f t="shared" si="41"/>
        <v>1.5361111111111112</v>
      </c>
      <c r="DM75" s="68">
        <f t="shared" si="33"/>
        <v>41475000</v>
      </c>
      <c r="DN75" s="68">
        <f t="shared" si="34"/>
        <v>124425000</v>
      </c>
      <c r="DO75" s="50">
        <v>0</v>
      </c>
      <c r="DP75" s="33">
        <f t="shared" si="35"/>
        <v>44.849959448499597</v>
      </c>
      <c r="DQ75" s="50">
        <v>6</v>
      </c>
      <c r="DR75" s="69">
        <f t="shared" si="42"/>
        <v>0</v>
      </c>
      <c r="DS75" s="49">
        <v>553</v>
      </c>
      <c r="DT75" s="68">
        <f t="shared" si="43"/>
        <v>16590000</v>
      </c>
      <c r="DU75" s="36">
        <v>553</v>
      </c>
      <c r="DV75" s="68">
        <f t="shared" si="44"/>
        <v>5530000</v>
      </c>
      <c r="DW75" s="69">
        <f t="shared" si="36"/>
        <v>188020000</v>
      </c>
      <c r="DX75" s="33">
        <f t="shared" si="37"/>
        <v>0</v>
      </c>
    </row>
    <row r="76" spans="1:128" s="51" customFormat="1" ht="31.5" customHeight="1">
      <c r="A76" s="40">
        <v>70</v>
      </c>
      <c r="B76" s="41" t="s">
        <v>327</v>
      </c>
      <c r="C76" s="39" t="s">
        <v>328</v>
      </c>
      <c r="D76" s="39" t="s">
        <v>470</v>
      </c>
      <c r="E76" s="43" t="s">
        <v>109</v>
      </c>
      <c r="F76" s="40" t="s">
        <v>104</v>
      </c>
      <c r="G76" s="40">
        <v>1318</v>
      </c>
      <c r="H76" s="40">
        <v>49</v>
      </c>
      <c r="I76" s="44">
        <v>733</v>
      </c>
      <c r="J76" s="56" t="s">
        <v>329</v>
      </c>
      <c r="K76" s="40">
        <v>2</v>
      </c>
      <c r="L76" s="40">
        <v>1</v>
      </c>
      <c r="M76" s="44">
        <f t="shared" si="28"/>
        <v>1052</v>
      </c>
      <c r="N76" s="44"/>
      <c r="O76" s="44"/>
      <c r="P76" s="44">
        <f t="shared" si="25"/>
        <v>0</v>
      </c>
      <c r="Q76" s="44"/>
      <c r="R76" s="44">
        <f t="shared" si="21"/>
        <v>270</v>
      </c>
      <c r="S76" s="44">
        <v>135</v>
      </c>
      <c r="T76" s="44">
        <f t="shared" si="24"/>
        <v>9</v>
      </c>
      <c r="U76" s="44">
        <v>9</v>
      </c>
      <c r="V76" s="44"/>
      <c r="W76" s="44">
        <f t="shared" si="29"/>
        <v>1178</v>
      </c>
      <c r="X76" s="29">
        <f t="shared" si="38"/>
        <v>908</v>
      </c>
      <c r="Y76" s="29">
        <f t="shared" si="39"/>
        <v>908</v>
      </c>
      <c r="Z76" s="44">
        <f t="shared" si="26"/>
        <v>1178</v>
      </c>
      <c r="AA76" s="44"/>
      <c r="AB76" s="44"/>
      <c r="AC76" s="44"/>
      <c r="AD76" s="44"/>
      <c r="AE76" s="44"/>
      <c r="AF76" s="44"/>
      <c r="AG76" s="44"/>
      <c r="AH76" s="44"/>
      <c r="AI76" s="44"/>
      <c r="AJ76" s="44"/>
      <c r="AK76" s="44"/>
      <c r="AL76" s="44"/>
      <c r="AM76" s="44"/>
      <c r="AN76" s="44"/>
      <c r="AO76" s="44">
        <v>733</v>
      </c>
      <c r="AP76" s="44"/>
      <c r="AQ76" s="44"/>
      <c r="AR76" s="44"/>
      <c r="AS76" s="44"/>
      <c r="AT76" s="44"/>
      <c r="AU76" s="46"/>
      <c r="AV76" s="44"/>
      <c r="AW76" s="44"/>
      <c r="AX76" s="44"/>
      <c r="AY76" s="44"/>
      <c r="AZ76" s="44"/>
      <c r="BA76" s="44"/>
      <c r="BB76" s="44"/>
      <c r="BC76" s="44">
        <f>271-96</f>
        <v>175</v>
      </c>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f t="shared" si="30"/>
        <v>0</v>
      </c>
      <c r="CW76" s="44">
        <f t="shared" si="31"/>
        <v>270</v>
      </c>
      <c r="CX76" s="47">
        <f t="shared" si="32"/>
        <v>733</v>
      </c>
      <c r="CY76" s="47">
        <v>0</v>
      </c>
      <c r="CZ76" s="31">
        <f t="shared" si="40"/>
        <v>0</v>
      </c>
      <c r="DA76" s="88" t="s">
        <v>404</v>
      </c>
      <c r="DB76" s="44">
        <v>733</v>
      </c>
      <c r="DC76" s="39"/>
      <c r="DD76" s="40"/>
      <c r="DE76" s="40"/>
      <c r="DF76" s="40"/>
      <c r="DG76" s="49"/>
      <c r="DH76" s="39" t="s">
        <v>470</v>
      </c>
      <c r="DI76" s="1" t="s">
        <v>508</v>
      </c>
      <c r="DJ76" s="2" t="s">
        <v>510</v>
      </c>
      <c r="DK76" s="49">
        <v>733</v>
      </c>
      <c r="DL76" s="71">
        <f t="shared" si="41"/>
        <v>2.036111111111111</v>
      </c>
      <c r="DM76" s="68">
        <f t="shared" si="33"/>
        <v>54975000</v>
      </c>
      <c r="DN76" s="68">
        <f t="shared" si="34"/>
        <v>164925000</v>
      </c>
      <c r="DO76" s="50">
        <v>2</v>
      </c>
      <c r="DP76" s="33">
        <f t="shared" si="35"/>
        <v>62.224108658743639</v>
      </c>
      <c r="DQ76" s="50">
        <v>6</v>
      </c>
      <c r="DR76" s="69">
        <f t="shared" si="42"/>
        <v>6120000</v>
      </c>
      <c r="DS76" s="49">
        <v>733</v>
      </c>
      <c r="DT76" s="68">
        <f t="shared" si="43"/>
        <v>21990000</v>
      </c>
      <c r="DU76" s="36">
        <v>733</v>
      </c>
      <c r="DV76" s="68">
        <f t="shared" si="44"/>
        <v>7330000</v>
      </c>
      <c r="DW76" s="69">
        <f t="shared" si="36"/>
        <v>255340000</v>
      </c>
      <c r="DX76" s="33">
        <f t="shared" si="37"/>
        <v>0</v>
      </c>
    </row>
    <row r="77" spans="1:128" s="51" customFormat="1" ht="54" customHeight="1">
      <c r="A77" s="40">
        <v>71</v>
      </c>
      <c r="B77" s="41" t="s">
        <v>330</v>
      </c>
      <c r="C77" s="39" t="s">
        <v>331</v>
      </c>
      <c r="D77" s="88" t="s">
        <v>437</v>
      </c>
      <c r="E77" s="43" t="s">
        <v>109</v>
      </c>
      <c r="F77" s="40" t="s">
        <v>104</v>
      </c>
      <c r="G77" s="40">
        <v>1319</v>
      </c>
      <c r="H77" s="40">
        <v>49</v>
      </c>
      <c r="I77" s="44">
        <f>131+1429</f>
        <v>1560</v>
      </c>
      <c r="J77" s="56" t="s">
        <v>332</v>
      </c>
      <c r="K77" s="40">
        <v>4</v>
      </c>
      <c r="L77" s="40">
        <v>3</v>
      </c>
      <c r="M77" s="44">
        <f t="shared" si="28"/>
        <v>2184</v>
      </c>
      <c r="N77" s="44"/>
      <c r="O77" s="44"/>
      <c r="P77" s="44">
        <f t="shared" si="25"/>
        <v>0</v>
      </c>
      <c r="Q77" s="44"/>
      <c r="R77" s="44">
        <f t="shared" si="21"/>
        <v>8</v>
      </c>
      <c r="S77" s="44">
        <v>4</v>
      </c>
      <c r="T77" s="44">
        <f t="shared" si="24"/>
        <v>254</v>
      </c>
      <c r="U77" s="44">
        <v>18</v>
      </c>
      <c r="V77" s="44">
        <v>236</v>
      </c>
      <c r="W77" s="44">
        <f t="shared" si="29"/>
        <v>1934</v>
      </c>
      <c r="X77" s="29">
        <f t="shared" si="38"/>
        <v>2162</v>
      </c>
      <c r="Y77" s="29">
        <f t="shared" si="39"/>
        <v>2162</v>
      </c>
      <c r="Z77" s="44">
        <f t="shared" si="26"/>
        <v>2170</v>
      </c>
      <c r="AA77" s="44"/>
      <c r="AB77" s="44"/>
      <c r="AC77" s="44"/>
      <c r="AD77" s="44"/>
      <c r="AE77" s="44"/>
      <c r="AF77" s="44"/>
      <c r="AG77" s="44"/>
      <c r="AH77" s="44"/>
      <c r="AI77" s="44"/>
      <c r="AJ77" s="44"/>
      <c r="AK77" s="44"/>
      <c r="AL77" s="44"/>
      <c r="AM77" s="44"/>
      <c r="AN77" s="44"/>
      <c r="AO77" s="44">
        <v>1429</v>
      </c>
      <c r="AP77" s="44"/>
      <c r="AQ77" s="44"/>
      <c r="AR77" s="44"/>
      <c r="AS77" s="44"/>
      <c r="AT77" s="44"/>
      <c r="AU77" s="46"/>
      <c r="AV77" s="44"/>
      <c r="AW77" s="44"/>
      <c r="AX77" s="44"/>
      <c r="AY77" s="44"/>
      <c r="AZ77" s="44"/>
      <c r="BA77" s="44"/>
      <c r="BB77" s="44"/>
      <c r="BC77" s="44">
        <v>497</v>
      </c>
      <c r="BD77" s="44"/>
      <c r="BE77" s="44"/>
      <c r="BF77" s="44"/>
      <c r="BG77" s="44">
        <v>236</v>
      </c>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f t="shared" si="30"/>
        <v>0</v>
      </c>
      <c r="CW77" s="44">
        <f t="shared" si="31"/>
        <v>8</v>
      </c>
      <c r="CX77" s="47">
        <f t="shared" si="32"/>
        <v>1560</v>
      </c>
      <c r="CY77" s="47">
        <v>131</v>
      </c>
      <c r="CZ77" s="31">
        <f t="shared" si="40"/>
        <v>0</v>
      </c>
      <c r="DA77" s="88" t="s">
        <v>404</v>
      </c>
      <c r="DB77" s="44">
        <v>1429</v>
      </c>
      <c r="DC77" s="39"/>
      <c r="DD77" s="40"/>
      <c r="DE77" s="40"/>
      <c r="DF77" s="40"/>
      <c r="DG77" s="49"/>
      <c r="DH77" s="45" t="s">
        <v>437</v>
      </c>
      <c r="DI77" s="1" t="s">
        <v>508</v>
      </c>
      <c r="DJ77" s="2" t="s">
        <v>510</v>
      </c>
      <c r="DK77" s="49">
        <v>1429</v>
      </c>
      <c r="DL77" s="71">
        <f t="shared" si="41"/>
        <v>3.9694444444444446</v>
      </c>
      <c r="DM77" s="68">
        <f t="shared" si="33"/>
        <v>107175000</v>
      </c>
      <c r="DN77" s="68">
        <f t="shared" si="34"/>
        <v>321525000</v>
      </c>
      <c r="DO77" s="50">
        <v>2</v>
      </c>
      <c r="DP77" s="33">
        <f t="shared" si="35"/>
        <v>73.888314374353669</v>
      </c>
      <c r="DQ77" s="50">
        <v>12</v>
      </c>
      <c r="DR77" s="69">
        <f t="shared" si="42"/>
        <v>12240000</v>
      </c>
      <c r="DS77" s="49">
        <v>1429</v>
      </c>
      <c r="DT77" s="68">
        <f t="shared" si="43"/>
        <v>42870000</v>
      </c>
      <c r="DU77" s="36">
        <f>131+1429</f>
        <v>1560</v>
      </c>
      <c r="DV77" s="68">
        <f t="shared" si="44"/>
        <v>14290000</v>
      </c>
      <c r="DW77" s="69">
        <f t="shared" si="36"/>
        <v>498100000</v>
      </c>
      <c r="DX77" s="33">
        <f t="shared" si="37"/>
        <v>0</v>
      </c>
    </row>
    <row r="78" spans="1:128" s="51" customFormat="1" ht="24" customHeight="1">
      <c r="A78" s="40">
        <v>72</v>
      </c>
      <c r="B78" s="41" t="s">
        <v>333</v>
      </c>
      <c r="C78" s="39" t="s">
        <v>334</v>
      </c>
      <c r="D78" s="88" t="s">
        <v>438</v>
      </c>
      <c r="E78" s="43" t="s">
        <v>109</v>
      </c>
      <c r="F78" s="40" t="s">
        <v>104</v>
      </c>
      <c r="G78" s="40">
        <v>83</v>
      </c>
      <c r="H78" s="40">
        <v>52</v>
      </c>
      <c r="I78" s="44">
        <v>400</v>
      </c>
      <c r="J78" s="45" t="s">
        <v>335</v>
      </c>
      <c r="K78" s="40">
        <v>1</v>
      </c>
      <c r="L78" s="40">
        <v>1</v>
      </c>
      <c r="M78" s="44">
        <f t="shared" si="28"/>
        <v>566</v>
      </c>
      <c r="N78" s="44"/>
      <c r="O78" s="44"/>
      <c r="P78" s="44">
        <f t="shared" si="25"/>
        <v>0</v>
      </c>
      <c r="Q78" s="44"/>
      <c r="R78" s="44">
        <f t="shared" si="21"/>
        <v>0</v>
      </c>
      <c r="S78" s="44"/>
      <c r="T78" s="44">
        <f t="shared" si="24"/>
        <v>101</v>
      </c>
      <c r="U78" s="44">
        <v>5</v>
      </c>
      <c r="V78" s="44">
        <v>96</v>
      </c>
      <c r="W78" s="44">
        <f t="shared" si="29"/>
        <v>465</v>
      </c>
      <c r="X78" s="29">
        <f t="shared" si="38"/>
        <v>561</v>
      </c>
      <c r="Y78" s="29">
        <f t="shared" si="39"/>
        <v>561</v>
      </c>
      <c r="Z78" s="44">
        <f t="shared" si="26"/>
        <v>561</v>
      </c>
      <c r="AA78" s="44"/>
      <c r="AB78" s="44"/>
      <c r="AC78" s="44"/>
      <c r="AD78" s="44"/>
      <c r="AE78" s="44"/>
      <c r="AF78" s="44"/>
      <c r="AG78" s="44"/>
      <c r="AH78" s="44"/>
      <c r="AI78" s="44"/>
      <c r="AJ78" s="44"/>
      <c r="AK78" s="44"/>
      <c r="AL78" s="44"/>
      <c r="AM78" s="44"/>
      <c r="AN78" s="44"/>
      <c r="AO78" s="44">
        <v>400</v>
      </c>
      <c r="AP78" s="44"/>
      <c r="AQ78" s="44"/>
      <c r="AR78" s="44"/>
      <c r="AS78" s="44"/>
      <c r="AT78" s="44"/>
      <c r="AU78" s="46"/>
      <c r="AV78" s="44"/>
      <c r="AW78" s="44"/>
      <c r="AX78" s="44"/>
      <c r="AY78" s="44"/>
      <c r="AZ78" s="44"/>
      <c r="BA78" s="44"/>
      <c r="BB78" s="44"/>
      <c r="BC78" s="44">
        <f>58+7</f>
        <v>65</v>
      </c>
      <c r="BD78" s="44"/>
      <c r="BE78" s="44"/>
      <c r="BF78" s="44"/>
      <c r="BG78" s="44">
        <v>96</v>
      </c>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f t="shared" si="30"/>
        <v>0</v>
      </c>
      <c r="CW78" s="44">
        <f t="shared" si="31"/>
        <v>0</v>
      </c>
      <c r="CX78" s="47">
        <f t="shared" si="32"/>
        <v>399.99999999999994</v>
      </c>
      <c r="CY78" s="47">
        <v>0</v>
      </c>
      <c r="CZ78" s="31">
        <f t="shared" si="40"/>
        <v>0</v>
      </c>
      <c r="DA78" s="88" t="s">
        <v>404</v>
      </c>
      <c r="DB78" s="44">
        <v>400</v>
      </c>
      <c r="DC78" s="39"/>
      <c r="DD78" s="40"/>
      <c r="DE78" s="40"/>
      <c r="DF78" s="40"/>
      <c r="DG78" s="49"/>
      <c r="DH78" s="45" t="s">
        <v>438</v>
      </c>
      <c r="DI78" s="1" t="s">
        <v>509</v>
      </c>
      <c r="DJ78" s="2" t="s">
        <v>510</v>
      </c>
      <c r="DK78" s="49">
        <v>399.99999999999994</v>
      </c>
      <c r="DL78" s="71">
        <f t="shared" si="41"/>
        <v>1.1111111111111109</v>
      </c>
      <c r="DM78" s="68">
        <f t="shared" si="33"/>
        <v>30000000</v>
      </c>
      <c r="DN78" s="68">
        <f t="shared" si="34"/>
        <v>90000000</v>
      </c>
      <c r="DO78" s="50">
        <v>0</v>
      </c>
      <c r="DP78" s="33">
        <f t="shared" si="35"/>
        <v>86.021505376344081</v>
      </c>
      <c r="DQ78" s="50">
        <v>12</v>
      </c>
      <c r="DR78" s="69">
        <f t="shared" si="42"/>
        <v>0</v>
      </c>
      <c r="DS78" s="49">
        <v>399.99999999999994</v>
      </c>
      <c r="DT78" s="68">
        <f t="shared" si="43"/>
        <v>12000000</v>
      </c>
      <c r="DU78" s="36">
        <v>399.99999999999994</v>
      </c>
      <c r="DV78" s="68">
        <f t="shared" si="44"/>
        <v>4000000</v>
      </c>
      <c r="DW78" s="69">
        <f t="shared" si="36"/>
        <v>136000000</v>
      </c>
      <c r="DX78" s="33">
        <f t="shared" si="37"/>
        <v>0</v>
      </c>
    </row>
    <row r="79" spans="1:128" s="51" customFormat="1" ht="27" customHeight="1">
      <c r="A79" s="40">
        <v>73</v>
      </c>
      <c r="B79" s="41" t="s">
        <v>336</v>
      </c>
      <c r="C79" s="56" t="s">
        <v>337</v>
      </c>
      <c r="D79" s="39" t="s">
        <v>337</v>
      </c>
      <c r="E79" s="43" t="s">
        <v>109</v>
      </c>
      <c r="F79" s="40" t="s">
        <v>104</v>
      </c>
      <c r="G79" s="40">
        <v>84</v>
      </c>
      <c r="H79" s="40">
        <v>52</v>
      </c>
      <c r="I79" s="44">
        <v>953</v>
      </c>
      <c r="J79" s="56" t="s">
        <v>337</v>
      </c>
      <c r="K79" s="40">
        <v>2</v>
      </c>
      <c r="L79" s="40">
        <v>2</v>
      </c>
      <c r="M79" s="44">
        <f t="shared" si="28"/>
        <v>1132</v>
      </c>
      <c r="N79" s="44"/>
      <c r="O79" s="44"/>
      <c r="P79" s="44">
        <f t="shared" si="25"/>
        <v>0</v>
      </c>
      <c r="Q79" s="44"/>
      <c r="R79" s="44">
        <f t="shared" si="21"/>
        <v>0</v>
      </c>
      <c r="S79" s="44"/>
      <c r="T79" s="44">
        <f t="shared" si="24"/>
        <v>13</v>
      </c>
      <c r="U79" s="44">
        <v>13</v>
      </c>
      <c r="V79" s="44"/>
      <c r="W79" s="44">
        <f t="shared" si="29"/>
        <v>1119</v>
      </c>
      <c r="X79" s="29">
        <f t="shared" si="38"/>
        <v>1119</v>
      </c>
      <c r="Y79" s="29">
        <f t="shared" si="39"/>
        <v>1119</v>
      </c>
      <c r="Z79" s="44">
        <f t="shared" si="26"/>
        <v>1119</v>
      </c>
      <c r="AA79" s="44"/>
      <c r="AB79" s="44"/>
      <c r="AC79" s="44"/>
      <c r="AD79" s="44"/>
      <c r="AE79" s="44"/>
      <c r="AF79" s="44"/>
      <c r="AG79" s="44"/>
      <c r="AH79" s="44"/>
      <c r="AI79" s="44"/>
      <c r="AJ79" s="44"/>
      <c r="AK79" s="44"/>
      <c r="AL79" s="44"/>
      <c r="AM79" s="44"/>
      <c r="AN79" s="44"/>
      <c r="AO79" s="44">
        <v>953</v>
      </c>
      <c r="AP79" s="44"/>
      <c r="AQ79" s="44"/>
      <c r="AR79" s="44"/>
      <c r="AS79" s="44"/>
      <c r="AT79" s="44"/>
      <c r="AU79" s="46"/>
      <c r="AV79" s="44"/>
      <c r="AW79" s="44"/>
      <c r="AX79" s="44"/>
      <c r="AY79" s="44"/>
      <c r="AZ79" s="44"/>
      <c r="BA79" s="44"/>
      <c r="BB79" s="44"/>
      <c r="BC79" s="44">
        <v>166</v>
      </c>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f t="shared" si="30"/>
        <v>0</v>
      </c>
      <c r="CW79" s="44">
        <f t="shared" si="31"/>
        <v>0</v>
      </c>
      <c r="CX79" s="47">
        <f t="shared" si="32"/>
        <v>953</v>
      </c>
      <c r="CY79" s="47">
        <v>0</v>
      </c>
      <c r="CZ79" s="31">
        <f t="shared" si="40"/>
        <v>0</v>
      </c>
      <c r="DA79" s="88" t="s">
        <v>404</v>
      </c>
      <c r="DB79" s="44">
        <v>953</v>
      </c>
      <c r="DC79" s="39"/>
      <c r="DD79" s="40"/>
      <c r="DE79" s="40"/>
      <c r="DF79" s="40"/>
      <c r="DG79" s="49"/>
      <c r="DH79" s="39" t="s">
        <v>337</v>
      </c>
      <c r="DI79" s="1" t="s">
        <v>509</v>
      </c>
      <c r="DJ79" s="2" t="s">
        <v>510</v>
      </c>
      <c r="DK79" s="49">
        <f>20.2+932.8</f>
        <v>953</v>
      </c>
      <c r="DL79" s="71">
        <f t="shared" si="41"/>
        <v>2.6472222222222221</v>
      </c>
      <c r="DM79" s="68">
        <f t="shared" si="33"/>
        <v>71475000</v>
      </c>
      <c r="DN79" s="68">
        <f t="shared" si="34"/>
        <v>214425000</v>
      </c>
      <c r="DO79" s="50">
        <v>2</v>
      </c>
      <c r="DP79" s="33">
        <f t="shared" si="35"/>
        <v>85.165326184092933</v>
      </c>
      <c r="DQ79" s="50">
        <v>12</v>
      </c>
      <c r="DR79" s="69">
        <f t="shared" si="42"/>
        <v>12240000</v>
      </c>
      <c r="DS79" s="49">
        <v>932.8</v>
      </c>
      <c r="DT79" s="68">
        <f t="shared" si="43"/>
        <v>27984000</v>
      </c>
      <c r="DU79" s="36">
        <f>DK79</f>
        <v>953</v>
      </c>
      <c r="DV79" s="68">
        <f t="shared" si="44"/>
        <v>9530000</v>
      </c>
      <c r="DW79" s="69">
        <f t="shared" si="36"/>
        <v>335654000</v>
      </c>
      <c r="DX79" s="34">
        <f t="shared" si="37"/>
        <v>0</v>
      </c>
    </row>
    <row r="80" spans="1:128" s="51" customFormat="1" ht="36.6" customHeight="1">
      <c r="A80" s="40">
        <v>74</v>
      </c>
      <c r="B80" s="41" t="s">
        <v>338</v>
      </c>
      <c r="C80" s="45" t="s">
        <v>339</v>
      </c>
      <c r="D80" s="39" t="s">
        <v>341</v>
      </c>
      <c r="E80" s="43" t="s">
        <v>109</v>
      </c>
      <c r="F80" s="40" t="s">
        <v>104</v>
      </c>
      <c r="G80" s="40">
        <v>85</v>
      </c>
      <c r="H80" s="40">
        <v>52</v>
      </c>
      <c r="I80" s="44">
        <v>1166</v>
      </c>
      <c r="J80" s="56" t="s">
        <v>340</v>
      </c>
      <c r="K80" s="40">
        <v>3</v>
      </c>
      <c r="L80" s="40">
        <v>4</v>
      </c>
      <c r="M80" s="44">
        <f t="shared" si="28"/>
        <v>1778</v>
      </c>
      <c r="N80" s="44"/>
      <c r="O80" s="44"/>
      <c r="P80" s="44">
        <f t="shared" si="25"/>
        <v>160</v>
      </c>
      <c r="Q80" s="44">
        <v>40</v>
      </c>
      <c r="R80" s="44">
        <f t="shared" si="21"/>
        <v>0</v>
      </c>
      <c r="S80" s="44"/>
      <c r="T80" s="44">
        <f t="shared" si="24"/>
        <v>108</v>
      </c>
      <c r="U80" s="44">
        <v>14</v>
      </c>
      <c r="V80" s="44">
        <v>94</v>
      </c>
      <c r="W80" s="44">
        <f t="shared" si="29"/>
        <v>1790</v>
      </c>
      <c r="X80" s="29">
        <f t="shared" si="38"/>
        <v>1724</v>
      </c>
      <c r="Y80" s="29">
        <f t="shared" si="39"/>
        <v>1724</v>
      </c>
      <c r="Z80" s="44">
        <f t="shared" si="26"/>
        <v>1884</v>
      </c>
      <c r="AA80" s="44"/>
      <c r="AB80" s="44"/>
      <c r="AC80" s="44"/>
      <c r="AD80" s="44"/>
      <c r="AE80" s="44"/>
      <c r="AF80" s="44"/>
      <c r="AG80" s="44"/>
      <c r="AH80" s="44"/>
      <c r="AI80" s="44"/>
      <c r="AJ80" s="44"/>
      <c r="AK80" s="44"/>
      <c r="AL80" s="44"/>
      <c r="AM80" s="44"/>
      <c r="AN80" s="44"/>
      <c r="AO80" s="44">
        <v>1166</v>
      </c>
      <c r="AP80" s="44"/>
      <c r="AQ80" s="44"/>
      <c r="AR80" s="44"/>
      <c r="AS80" s="44"/>
      <c r="AT80" s="44"/>
      <c r="AU80" s="46">
        <v>94</v>
      </c>
      <c r="AV80" s="44"/>
      <c r="AW80" s="44"/>
      <c r="AX80" s="44"/>
      <c r="AY80" s="44"/>
      <c r="AZ80" s="44"/>
      <c r="BA80" s="44"/>
      <c r="BB80" s="44"/>
      <c r="BC80" s="44"/>
      <c r="BD80" s="44">
        <v>464</v>
      </c>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f t="shared" si="30"/>
        <v>160</v>
      </c>
      <c r="CW80" s="44">
        <f t="shared" si="31"/>
        <v>0</v>
      </c>
      <c r="CX80" s="47">
        <f t="shared" si="32"/>
        <v>1166</v>
      </c>
      <c r="CY80" s="47">
        <v>0</v>
      </c>
      <c r="CZ80" s="31">
        <f t="shared" si="40"/>
        <v>0</v>
      </c>
      <c r="DA80" s="88" t="s">
        <v>404</v>
      </c>
      <c r="DB80" s="44">
        <v>1166</v>
      </c>
      <c r="DC80" s="39"/>
      <c r="DD80" s="40"/>
      <c r="DE80" s="40"/>
      <c r="DF80" s="40"/>
      <c r="DG80" s="49"/>
      <c r="DH80" s="45" t="s">
        <v>517</v>
      </c>
      <c r="DI80" s="1" t="s">
        <v>509</v>
      </c>
      <c r="DJ80" s="2" t="s">
        <v>510</v>
      </c>
      <c r="DK80" s="49">
        <f>1063.7+102.3</f>
        <v>1166</v>
      </c>
      <c r="DL80" s="71">
        <f t="shared" si="41"/>
        <v>3.2388888888888889</v>
      </c>
      <c r="DM80" s="68">
        <f t="shared" si="33"/>
        <v>87450000</v>
      </c>
      <c r="DN80" s="68">
        <f t="shared" si="34"/>
        <v>262350000</v>
      </c>
      <c r="DO80" s="50">
        <v>4</v>
      </c>
      <c r="DP80" s="33">
        <f t="shared" si="35"/>
        <v>65.139664804469277</v>
      </c>
      <c r="DQ80" s="50">
        <v>6</v>
      </c>
      <c r="DR80" s="69">
        <f t="shared" si="42"/>
        <v>12240000</v>
      </c>
      <c r="DS80" s="49">
        <v>1063.7</v>
      </c>
      <c r="DT80" s="68">
        <f t="shared" si="43"/>
        <v>31911000</v>
      </c>
      <c r="DU80" s="36">
        <f>DK80</f>
        <v>1166</v>
      </c>
      <c r="DV80" s="68">
        <f t="shared" si="44"/>
        <v>11660000</v>
      </c>
      <c r="DW80" s="69">
        <f t="shared" si="36"/>
        <v>405611000</v>
      </c>
      <c r="DX80" s="34">
        <f t="shared" si="37"/>
        <v>0</v>
      </c>
    </row>
    <row r="81" spans="1:128" s="51" customFormat="1" ht="36.6" customHeight="1">
      <c r="A81" s="40">
        <v>75</v>
      </c>
      <c r="B81" s="41" t="s">
        <v>342</v>
      </c>
      <c r="C81" s="39" t="s">
        <v>343</v>
      </c>
      <c r="D81" s="39" t="s">
        <v>471</v>
      </c>
      <c r="E81" s="43" t="s">
        <v>109</v>
      </c>
      <c r="F81" s="40" t="s">
        <v>104</v>
      </c>
      <c r="G81" s="40">
        <v>86</v>
      </c>
      <c r="H81" s="40">
        <v>52</v>
      </c>
      <c r="I81" s="44">
        <v>1555</v>
      </c>
      <c r="J81" s="56" t="s">
        <v>344</v>
      </c>
      <c r="K81" s="40">
        <v>3</v>
      </c>
      <c r="L81" s="40">
        <v>4</v>
      </c>
      <c r="M81" s="44">
        <f t="shared" si="28"/>
        <v>1778</v>
      </c>
      <c r="N81" s="44"/>
      <c r="O81" s="44"/>
      <c r="P81" s="44">
        <f t="shared" si="25"/>
        <v>0</v>
      </c>
      <c r="Q81" s="44"/>
      <c r="R81" s="44">
        <f t="shared" si="21"/>
        <v>0</v>
      </c>
      <c r="S81" s="44"/>
      <c r="T81" s="44">
        <f t="shared" si="24"/>
        <v>19</v>
      </c>
      <c r="U81" s="44">
        <v>19</v>
      </c>
      <c r="V81" s="44"/>
      <c r="W81" s="44">
        <f t="shared" si="29"/>
        <v>1759</v>
      </c>
      <c r="X81" s="29">
        <f t="shared" si="38"/>
        <v>1759</v>
      </c>
      <c r="Y81" s="29">
        <f t="shared" si="39"/>
        <v>1759</v>
      </c>
      <c r="Z81" s="44">
        <f t="shared" si="26"/>
        <v>1759</v>
      </c>
      <c r="AA81" s="44"/>
      <c r="AB81" s="44"/>
      <c r="AC81" s="44"/>
      <c r="AD81" s="44"/>
      <c r="AE81" s="44"/>
      <c r="AF81" s="44"/>
      <c r="AG81" s="44"/>
      <c r="AH81" s="44"/>
      <c r="AI81" s="44"/>
      <c r="AJ81" s="44"/>
      <c r="AK81" s="44"/>
      <c r="AL81" s="44"/>
      <c r="AM81" s="44"/>
      <c r="AN81" s="44"/>
      <c r="AO81" s="44">
        <v>1555</v>
      </c>
      <c r="AP81" s="44"/>
      <c r="AQ81" s="44"/>
      <c r="AR81" s="44"/>
      <c r="AS81" s="44"/>
      <c r="AT81" s="44"/>
      <c r="AU81" s="46"/>
      <c r="AV81" s="44"/>
      <c r="AW81" s="44"/>
      <c r="AX81" s="44"/>
      <c r="AY81" s="44"/>
      <c r="AZ81" s="44"/>
      <c r="BA81" s="44"/>
      <c r="BB81" s="44"/>
      <c r="BC81" s="44">
        <v>204</v>
      </c>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f t="shared" si="30"/>
        <v>0</v>
      </c>
      <c r="CW81" s="44">
        <f t="shared" si="31"/>
        <v>0</v>
      </c>
      <c r="CX81" s="47">
        <f t="shared" si="32"/>
        <v>1555</v>
      </c>
      <c r="CY81" s="47">
        <v>0</v>
      </c>
      <c r="CZ81" s="31">
        <f t="shared" si="40"/>
        <v>0</v>
      </c>
      <c r="DA81" s="88" t="s">
        <v>404</v>
      </c>
      <c r="DB81" s="44">
        <v>1555</v>
      </c>
      <c r="DC81" s="39"/>
      <c r="DD81" s="40"/>
      <c r="DE81" s="40"/>
      <c r="DF81" s="40"/>
      <c r="DG81" s="49"/>
      <c r="DH81" s="39" t="s">
        <v>471</v>
      </c>
      <c r="DI81" s="1" t="s">
        <v>509</v>
      </c>
      <c r="DJ81" s="2" t="s">
        <v>510</v>
      </c>
      <c r="DK81" s="49">
        <f>264.4+1290.6</f>
        <v>1555</v>
      </c>
      <c r="DL81" s="71">
        <f t="shared" si="41"/>
        <v>4.3194444444444446</v>
      </c>
      <c r="DM81" s="68">
        <f t="shared" si="33"/>
        <v>116625000</v>
      </c>
      <c r="DN81" s="68">
        <f t="shared" si="34"/>
        <v>349875000</v>
      </c>
      <c r="DO81" s="50">
        <v>4</v>
      </c>
      <c r="DP81" s="33">
        <f t="shared" si="35"/>
        <v>88.402501421262087</v>
      </c>
      <c r="DQ81" s="50">
        <v>12</v>
      </c>
      <c r="DR81" s="69">
        <f t="shared" si="42"/>
        <v>24480000</v>
      </c>
      <c r="DS81" s="49">
        <v>1290.5999999999999</v>
      </c>
      <c r="DT81" s="68">
        <f t="shared" si="43"/>
        <v>38718000</v>
      </c>
      <c r="DU81" s="36">
        <f>DK81</f>
        <v>1555</v>
      </c>
      <c r="DV81" s="68">
        <f t="shared" si="44"/>
        <v>15550000</v>
      </c>
      <c r="DW81" s="69">
        <f t="shared" si="36"/>
        <v>545248000</v>
      </c>
      <c r="DX81" s="33">
        <f t="shared" si="37"/>
        <v>0</v>
      </c>
    </row>
    <row r="82" spans="1:128" s="51" customFormat="1" ht="26.25" customHeight="1">
      <c r="A82" s="40">
        <v>76</v>
      </c>
      <c r="B82" s="41" t="s">
        <v>345</v>
      </c>
      <c r="C82" s="45" t="s">
        <v>346</v>
      </c>
      <c r="D82" s="88" t="s">
        <v>439</v>
      </c>
      <c r="E82" s="43" t="s">
        <v>109</v>
      </c>
      <c r="F82" s="40" t="s">
        <v>104</v>
      </c>
      <c r="G82" s="40">
        <v>87</v>
      </c>
      <c r="H82" s="40">
        <v>52</v>
      </c>
      <c r="I82" s="44">
        <v>1270</v>
      </c>
      <c r="J82" s="56" t="s">
        <v>347</v>
      </c>
      <c r="K82" s="40">
        <v>3</v>
      </c>
      <c r="L82" s="40">
        <v>3</v>
      </c>
      <c r="M82" s="44">
        <f t="shared" si="28"/>
        <v>1698</v>
      </c>
      <c r="N82" s="44"/>
      <c r="O82" s="44"/>
      <c r="P82" s="44">
        <f t="shared" si="25"/>
        <v>0</v>
      </c>
      <c r="Q82" s="44"/>
      <c r="R82" s="44">
        <f t="shared" si="21"/>
        <v>0</v>
      </c>
      <c r="S82" s="44"/>
      <c r="T82" s="44">
        <f t="shared" si="24"/>
        <v>256</v>
      </c>
      <c r="U82" s="44">
        <v>17</v>
      </c>
      <c r="V82" s="44">
        <f>77+162</f>
        <v>239</v>
      </c>
      <c r="W82" s="44">
        <f t="shared" si="29"/>
        <v>1442</v>
      </c>
      <c r="X82" s="29">
        <f t="shared" si="38"/>
        <v>1681</v>
      </c>
      <c r="Y82" s="29">
        <f t="shared" si="39"/>
        <v>1681</v>
      </c>
      <c r="Z82" s="44">
        <f t="shared" si="26"/>
        <v>1681</v>
      </c>
      <c r="AA82" s="44"/>
      <c r="AB82" s="44"/>
      <c r="AC82" s="44"/>
      <c r="AD82" s="44"/>
      <c r="AE82" s="44"/>
      <c r="AF82" s="44"/>
      <c r="AG82" s="44"/>
      <c r="AH82" s="44"/>
      <c r="AI82" s="44"/>
      <c r="AJ82" s="44"/>
      <c r="AK82" s="44"/>
      <c r="AL82" s="44"/>
      <c r="AM82" s="44"/>
      <c r="AN82" s="44"/>
      <c r="AO82" s="44">
        <v>1270</v>
      </c>
      <c r="AP82" s="44"/>
      <c r="AQ82" s="44"/>
      <c r="AR82" s="44"/>
      <c r="AS82" s="44"/>
      <c r="AT82" s="44"/>
      <c r="AU82" s="46">
        <f>162+77</f>
        <v>239</v>
      </c>
      <c r="AV82" s="44"/>
      <c r="AW82" s="44"/>
      <c r="AX82" s="44"/>
      <c r="AY82" s="44"/>
      <c r="AZ82" s="44"/>
      <c r="BA82" s="44"/>
      <c r="BB82" s="44"/>
      <c r="BC82" s="44"/>
      <c r="BD82" s="44"/>
      <c r="BE82" s="44"/>
      <c r="BF82" s="44"/>
      <c r="BG82" s="44"/>
      <c r="BH82" s="44">
        <v>172</v>
      </c>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f t="shared" si="30"/>
        <v>0</v>
      </c>
      <c r="CW82" s="44">
        <f t="shared" si="31"/>
        <v>0</v>
      </c>
      <c r="CX82" s="47">
        <f t="shared" si="32"/>
        <v>1270</v>
      </c>
      <c r="CY82" s="47">
        <v>0</v>
      </c>
      <c r="CZ82" s="31">
        <f t="shared" si="40"/>
        <v>0</v>
      </c>
      <c r="DA82" s="88" t="s">
        <v>404</v>
      </c>
      <c r="DB82" s="44">
        <v>1270</v>
      </c>
      <c r="DC82" s="39"/>
      <c r="DD82" s="40"/>
      <c r="DE82" s="40"/>
      <c r="DF82" s="40"/>
      <c r="DG82" s="49"/>
      <c r="DH82" s="45" t="s">
        <v>439</v>
      </c>
      <c r="DI82" s="1" t="s">
        <v>509</v>
      </c>
      <c r="DJ82" s="2" t="s">
        <v>510</v>
      </c>
      <c r="DK82" s="49">
        <f>943.3+326.7</f>
        <v>1270</v>
      </c>
      <c r="DL82" s="71">
        <f t="shared" si="41"/>
        <v>3.5277777777777777</v>
      </c>
      <c r="DM82" s="68">
        <f t="shared" si="33"/>
        <v>95250000</v>
      </c>
      <c r="DN82" s="68">
        <f t="shared" si="34"/>
        <v>285750000</v>
      </c>
      <c r="DO82" s="50">
        <v>3</v>
      </c>
      <c r="DP82" s="33">
        <f t="shared" si="35"/>
        <v>88.072122052704586</v>
      </c>
      <c r="DQ82" s="50">
        <v>12</v>
      </c>
      <c r="DR82" s="69">
        <f t="shared" si="42"/>
        <v>18360000</v>
      </c>
      <c r="DS82" s="49">
        <v>943.3</v>
      </c>
      <c r="DT82" s="68">
        <f t="shared" si="43"/>
        <v>28299000</v>
      </c>
      <c r="DU82" s="36">
        <f>DK82</f>
        <v>1270</v>
      </c>
      <c r="DV82" s="68">
        <f t="shared" si="44"/>
        <v>12700000</v>
      </c>
      <c r="DW82" s="69">
        <f t="shared" si="36"/>
        <v>440359000</v>
      </c>
      <c r="DX82" s="33">
        <f t="shared" si="37"/>
        <v>0</v>
      </c>
    </row>
    <row r="83" spans="1:128" s="51" customFormat="1" ht="25.5" customHeight="1">
      <c r="A83" s="40">
        <v>77</v>
      </c>
      <c r="B83" s="41" t="s">
        <v>348</v>
      </c>
      <c r="C83" s="45" t="s">
        <v>349</v>
      </c>
      <c r="D83" s="88" t="s">
        <v>351</v>
      </c>
      <c r="E83" s="43" t="s">
        <v>109</v>
      </c>
      <c r="F83" s="40" t="s">
        <v>104</v>
      </c>
      <c r="G83" s="40">
        <v>88</v>
      </c>
      <c r="H83" s="40">
        <v>52</v>
      </c>
      <c r="I83" s="44">
        <v>586</v>
      </c>
      <c r="J83" s="56" t="s">
        <v>350</v>
      </c>
      <c r="K83" s="40">
        <v>2</v>
      </c>
      <c r="L83" s="40">
        <v>3</v>
      </c>
      <c r="M83" s="44">
        <f t="shared" si="28"/>
        <v>1212</v>
      </c>
      <c r="N83" s="44"/>
      <c r="O83" s="44"/>
      <c r="P83" s="44">
        <f t="shared" si="25"/>
        <v>0</v>
      </c>
      <c r="Q83" s="44"/>
      <c r="R83" s="44">
        <f t="shared" si="21"/>
        <v>0</v>
      </c>
      <c r="S83" s="44"/>
      <c r="T83" s="44">
        <f t="shared" si="24"/>
        <v>626</v>
      </c>
      <c r="U83" s="44">
        <v>12</v>
      </c>
      <c r="V83" s="44">
        <f>194+420</f>
        <v>614</v>
      </c>
      <c r="W83" s="44">
        <f t="shared" si="29"/>
        <v>586</v>
      </c>
      <c r="X83" s="29">
        <f t="shared" si="38"/>
        <v>1200</v>
      </c>
      <c r="Y83" s="29">
        <f t="shared" si="39"/>
        <v>1200</v>
      </c>
      <c r="Z83" s="44">
        <f t="shared" si="26"/>
        <v>1200</v>
      </c>
      <c r="AA83" s="44"/>
      <c r="AB83" s="44"/>
      <c r="AC83" s="44"/>
      <c r="AD83" s="44"/>
      <c r="AE83" s="44"/>
      <c r="AF83" s="44"/>
      <c r="AG83" s="44"/>
      <c r="AH83" s="44"/>
      <c r="AI83" s="44"/>
      <c r="AJ83" s="44"/>
      <c r="AK83" s="44"/>
      <c r="AL83" s="44"/>
      <c r="AM83" s="44"/>
      <c r="AN83" s="44"/>
      <c r="AO83" s="44">
        <v>586</v>
      </c>
      <c r="AP83" s="44">
        <v>420</v>
      </c>
      <c r="AQ83" s="44"/>
      <c r="AR83" s="44"/>
      <c r="AS83" s="44"/>
      <c r="AT83" s="44"/>
      <c r="AU83" s="46"/>
      <c r="AV83" s="44"/>
      <c r="AW83" s="44"/>
      <c r="AX83" s="44"/>
      <c r="AY83" s="44"/>
      <c r="AZ83" s="44"/>
      <c r="BA83" s="44"/>
      <c r="BB83" s="44"/>
      <c r="BC83" s="44">
        <v>194</v>
      </c>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f t="shared" si="30"/>
        <v>0</v>
      </c>
      <c r="CW83" s="44">
        <f t="shared" si="31"/>
        <v>0</v>
      </c>
      <c r="CX83" s="47">
        <f t="shared" si="32"/>
        <v>586</v>
      </c>
      <c r="CY83" s="47">
        <v>0</v>
      </c>
      <c r="CZ83" s="31">
        <f t="shared" si="40"/>
        <v>0</v>
      </c>
      <c r="DA83" s="88" t="s">
        <v>404</v>
      </c>
      <c r="DB83" s="44">
        <v>586</v>
      </c>
      <c r="DC83" s="39"/>
      <c r="DD83" s="40"/>
      <c r="DE83" s="40"/>
      <c r="DF83" s="40"/>
      <c r="DG83" s="49"/>
      <c r="DH83" s="45" t="s">
        <v>351</v>
      </c>
      <c r="DI83" s="1" t="s">
        <v>509</v>
      </c>
      <c r="DJ83" s="2" t="s">
        <v>510</v>
      </c>
      <c r="DK83" s="49">
        <f>185.5+400.5</f>
        <v>586</v>
      </c>
      <c r="DL83" s="71">
        <f t="shared" si="41"/>
        <v>1.6277777777777778</v>
      </c>
      <c r="DM83" s="68">
        <f t="shared" si="33"/>
        <v>43950000</v>
      </c>
      <c r="DN83" s="68">
        <f t="shared" si="34"/>
        <v>131850000</v>
      </c>
      <c r="DO83" s="50">
        <v>5</v>
      </c>
      <c r="DP83" s="33">
        <f t="shared" si="35"/>
        <v>100</v>
      </c>
      <c r="DQ83" s="50">
        <v>12</v>
      </c>
      <c r="DR83" s="69">
        <f t="shared" si="42"/>
        <v>30600000</v>
      </c>
      <c r="DS83" s="49">
        <v>400.5</v>
      </c>
      <c r="DT83" s="68">
        <f t="shared" si="43"/>
        <v>12015000</v>
      </c>
      <c r="DU83" s="36">
        <f>DK83</f>
        <v>586</v>
      </c>
      <c r="DV83" s="68">
        <f t="shared" si="44"/>
        <v>5860000</v>
      </c>
      <c r="DW83" s="69">
        <f t="shared" si="36"/>
        <v>224275000</v>
      </c>
      <c r="DX83" s="33">
        <f t="shared" si="37"/>
        <v>0</v>
      </c>
    </row>
    <row r="84" spans="1:128" s="38" customFormat="1" ht="36.6" customHeight="1">
      <c r="A84" s="26">
        <v>78</v>
      </c>
      <c r="B84" s="27" t="s">
        <v>353</v>
      </c>
      <c r="C84" s="89" t="s">
        <v>354</v>
      </c>
      <c r="D84" s="89" t="s">
        <v>472</v>
      </c>
      <c r="E84" s="87" t="s">
        <v>109</v>
      </c>
      <c r="F84" s="28" t="s">
        <v>104</v>
      </c>
      <c r="G84" s="26">
        <v>675</v>
      </c>
      <c r="H84" s="26">
        <v>49</v>
      </c>
      <c r="I84" s="29">
        <f>2.3+557</f>
        <v>559.29999999999995</v>
      </c>
      <c r="J84" s="88" t="s">
        <v>355</v>
      </c>
      <c r="K84" s="26">
        <v>1</v>
      </c>
      <c r="L84" s="26">
        <v>3</v>
      </c>
      <c r="M84" s="29">
        <f t="shared" si="28"/>
        <v>726</v>
      </c>
      <c r="N84" s="29"/>
      <c r="O84" s="29"/>
      <c r="P84" s="29">
        <f t="shared" si="25"/>
        <v>0</v>
      </c>
      <c r="Q84" s="29"/>
      <c r="R84" s="29">
        <f t="shared" si="21"/>
        <v>0</v>
      </c>
      <c r="S84" s="29"/>
      <c r="T84" s="29">
        <f t="shared" si="24"/>
        <v>169</v>
      </c>
      <c r="U84" s="29">
        <v>9</v>
      </c>
      <c r="V84" s="29">
        <v>160</v>
      </c>
      <c r="W84" s="29">
        <f t="shared" si="29"/>
        <v>557</v>
      </c>
      <c r="X84" s="29">
        <f t="shared" si="38"/>
        <v>717</v>
      </c>
      <c r="Y84" s="29">
        <f t="shared" si="39"/>
        <v>717</v>
      </c>
      <c r="Z84" s="29">
        <f t="shared" si="26"/>
        <v>717</v>
      </c>
      <c r="AA84" s="29"/>
      <c r="AB84" s="29"/>
      <c r="AC84" s="29"/>
      <c r="AD84" s="29"/>
      <c r="AE84" s="29"/>
      <c r="AF84" s="29"/>
      <c r="AG84" s="29"/>
      <c r="AH84" s="29"/>
      <c r="AI84" s="29"/>
      <c r="AJ84" s="29"/>
      <c r="AK84" s="29"/>
      <c r="AL84" s="29"/>
      <c r="AM84" s="29"/>
      <c r="AN84" s="29"/>
      <c r="AO84" s="29"/>
      <c r="AP84" s="29">
        <v>717</v>
      </c>
      <c r="AQ84" s="29"/>
      <c r="AR84" s="29"/>
      <c r="AS84" s="29"/>
      <c r="AT84" s="29"/>
      <c r="AU84" s="30"/>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f t="shared" si="30"/>
        <v>0</v>
      </c>
      <c r="CW84" s="29">
        <f t="shared" si="31"/>
        <v>0</v>
      </c>
      <c r="CX84" s="31">
        <f t="shared" si="32"/>
        <v>559.29999999999995</v>
      </c>
      <c r="CY84" s="31">
        <v>2.2999999999999998</v>
      </c>
      <c r="CZ84" s="31">
        <f t="shared" si="40"/>
        <v>0</v>
      </c>
      <c r="DA84" s="88" t="s">
        <v>404</v>
      </c>
      <c r="DB84" s="29">
        <f>717-160</f>
        <v>557</v>
      </c>
      <c r="DC84" s="89"/>
      <c r="DD84" s="26"/>
      <c r="DE84" s="26"/>
      <c r="DF84" s="26"/>
      <c r="DG84" s="33"/>
      <c r="DH84" s="39" t="s">
        <v>472</v>
      </c>
      <c r="DI84" s="1" t="s">
        <v>508</v>
      </c>
      <c r="DJ84" s="2" t="s">
        <v>511</v>
      </c>
      <c r="DK84" s="33">
        <v>557</v>
      </c>
      <c r="DL84" s="71">
        <f t="shared" si="41"/>
        <v>1.5472222222222223</v>
      </c>
      <c r="DM84" s="68">
        <f t="shared" si="33"/>
        <v>41775000</v>
      </c>
      <c r="DN84" s="68">
        <f t="shared" si="34"/>
        <v>125325000</v>
      </c>
      <c r="DO84" s="35">
        <v>4</v>
      </c>
      <c r="DP84" s="33">
        <f t="shared" si="35"/>
        <v>100</v>
      </c>
      <c r="DQ84" s="35">
        <v>12</v>
      </c>
      <c r="DR84" s="69">
        <f t="shared" si="42"/>
        <v>24480000</v>
      </c>
      <c r="DS84" s="33">
        <v>557</v>
      </c>
      <c r="DT84" s="68">
        <f t="shared" si="43"/>
        <v>16710000</v>
      </c>
      <c r="DU84" s="36">
        <f>2.3+557</f>
        <v>559.29999999999995</v>
      </c>
      <c r="DV84" s="68">
        <f t="shared" si="44"/>
        <v>5570000</v>
      </c>
      <c r="DW84" s="69">
        <f t="shared" si="36"/>
        <v>213860000</v>
      </c>
      <c r="DX84" s="33">
        <f t="shared" si="37"/>
        <v>0</v>
      </c>
    </row>
    <row r="85" spans="1:128" s="38" customFormat="1" ht="55.5" customHeight="1">
      <c r="A85" s="26">
        <v>79</v>
      </c>
      <c r="B85" s="27" t="s">
        <v>356</v>
      </c>
      <c r="C85" s="89" t="s">
        <v>357</v>
      </c>
      <c r="D85" s="88" t="s">
        <v>440</v>
      </c>
      <c r="E85" s="87" t="s">
        <v>109</v>
      </c>
      <c r="F85" s="28" t="s">
        <v>104</v>
      </c>
      <c r="G85" s="26">
        <v>676</v>
      </c>
      <c r="H85" s="26">
        <v>49</v>
      </c>
      <c r="I85" s="29">
        <f>3.4+1763.5</f>
        <v>1766.9</v>
      </c>
      <c r="J85" s="88" t="s">
        <v>358</v>
      </c>
      <c r="K85" s="26">
        <v>4</v>
      </c>
      <c r="L85" s="26">
        <v>5</v>
      </c>
      <c r="M85" s="29">
        <f t="shared" si="28"/>
        <v>2344</v>
      </c>
      <c r="N85" s="29"/>
      <c r="O85" s="29"/>
      <c r="P85" s="29">
        <f t="shared" si="25"/>
        <v>0</v>
      </c>
      <c r="Q85" s="29"/>
      <c r="R85" s="29">
        <f t="shared" ref="R85:R90" si="45">S85*2</f>
        <v>105</v>
      </c>
      <c r="S85" s="29">
        <v>52.5</v>
      </c>
      <c r="T85" s="29">
        <f t="shared" si="24"/>
        <v>528</v>
      </c>
      <c r="U85" s="29">
        <v>21</v>
      </c>
      <c r="V85" s="29">
        <f>207+300</f>
        <v>507</v>
      </c>
      <c r="W85" s="29">
        <f t="shared" si="29"/>
        <v>1868.5</v>
      </c>
      <c r="X85" s="29">
        <f t="shared" si="38"/>
        <v>2270.5</v>
      </c>
      <c r="Y85" s="29">
        <f t="shared" si="39"/>
        <v>2270.5</v>
      </c>
      <c r="Z85" s="29">
        <f t="shared" si="26"/>
        <v>2375.5</v>
      </c>
      <c r="AA85" s="29"/>
      <c r="AB85" s="29"/>
      <c r="AC85" s="29"/>
      <c r="AD85" s="29"/>
      <c r="AE85" s="29"/>
      <c r="AF85" s="29"/>
      <c r="AG85" s="29"/>
      <c r="AH85" s="29"/>
      <c r="AI85" s="29"/>
      <c r="AJ85" s="29"/>
      <c r="AK85" s="29"/>
      <c r="AL85" s="29"/>
      <c r="AM85" s="29"/>
      <c r="AN85" s="29"/>
      <c r="AO85" s="29"/>
      <c r="AP85" s="29">
        <v>1763.5</v>
      </c>
      <c r="AQ85" s="29"/>
      <c r="AR85" s="29"/>
      <c r="AS85" s="29"/>
      <c r="AT85" s="29"/>
      <c r="AU85" s="30"/>
      <c r="AV85" s="29"/>
      <c r="AW85" s="29"/>
      <c r="AX85" s="29"/>
      <c r="AY85" s="29"/>
      <c r="AZ85" s="29"/>
      <c r="BA85" s="29"/>
      <c r="BB85" s="29"/>
      <c r="BC85" s="29">
        <v>300</v>
      </c>
      <c r="BD85" s="29"/>
      <c r="BE85" s="29"/>
      <c r="BF85" s="29"/>
      <c r="BG85" s="29">
        <v>207</v>
      </c>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f t="shared" si="30"/>
        <v>0</v>
      </c>
      <c r="CW85" s="29">
        <f t="shared" si="31"/>
        <v>105</v>
      </c>
      <c r="CX85" s="31">
        <f t="shared" si="32"/>
        <v>1763.5</v>
      </c>
      <c r="CY85" s="31">
        <v>0</v>
      </c>
      <c r="CZ85" s="31">
        <f t="shared" si="40"/>
        <v>3.4000000000000909</v>
      </c>
      <c r="DA85" s="88" t="s">
        <v>405</v>
      </c>
      <c r="DB85" s="29">
        <v>1763.5</v>
      </c>
      <c r="DC85" s="89"/>
      <c r="DD85" s="26"/>
      <c r="DE85" s="26"/>
      <c r="DF85" s="26"/>
      <c r="DG85" s="33"/>
      <c r="DH85" s="45" t="s">
        <v>503</v>
      </c>
      <c r="DI85" s="1" t="s">
        <v>508</v>
      </c>
      <c r="DJ85" s="2" t="s">
        <v>511</v>
      </c>
      <c r="DK85" s="33">
        <f>90.9+1672.6</f>
        <v>1763.5</v>
      </c>
      <c r="DL85" s="71">
        <f t="shared" si="41"/>
        <v>4.8986111111111112</v>
      </c>
      <c r="DM85" s="68">
        <f t="shared" si="33"/>
        <v>132263000</v>
      </c>
      <c r="DN85" s="68">
        <f t="shared" si="34"/>
        <v>396788000</v>
      </c>
      <c r="DO85" s="35">
        <v>4</v>
      </c>
      <c r="DP85" s="33">
        <f t="shared" si="35"/>
        <v>94.38051913299438</v>
      </c>
      <c r="DQ85" s="35">
        <v>12</v>
      </c>
      <c r="DR85" s="69">
        <f t="shared" si="42"/>
        <v>24480000</v>
      </c>
      <c r="DS85" s="33">
        <v>1672.6</v>
      </c>
      <c r="DT85" s="68">
        <f t="shared" si="43"/>
        <v>50178000</v>
      </c>
      <c r="DU85" s="36">
        <f>90.9+1672.6</f>
        <v>1763.5</v>
      </c>
      <c r="DV85" s="68">
        <f t="shared" si="44"/>
        <v>17635000</v>
      </c>
      <c r="DW85" s="69">
        <f t="shared" si="36"/>
        <v>621344000</v>
      </c>
      <c r="DX85" s="34">
        <f t="shared" si="37"/>
        <v>3.4000000000000909</v>
      </c>
    </row>
    <row r="86" spans="1:128" s="38" customFormat="1" ht="21" customHeight="1">
      <c r="A86" s="26">
        <v>80</v>
      </c>
      <c r="B86" s="27" t="s">
        <v>359</v>
      </c>
      <c r="C86" s="89" t="s">
        <v>360</v>
      </c>
      <c r="D86" s="88" t="s">
        <v>362</v>
      </c>
      <c r="E86" s="87" t="s">
        <v>109</v>
      </c>
      <c r="F86" s="28" t="s">
        <v>104</v>
      </c>
      <c r="G86" s="26">
        <v>677</v>
      </c>
      <c r="H86" s="26">
        <v>49</v>
      </c>
      <c r="I86" s="29">
        <f>2.2+1579</f>
        <v>1581.2</v>
      </c>
      <c r="J86" s="88" t="s">
        <v>361</v>
      </c>
      <c r="K86" s="26">
        <v>3</v>
      </c>
      <c r="L86" s="26">
        <v>4</v>
      </c>
      <c r="M86" s="29">
        <f t="shared" si="28"/>
        <v>1778</v>
      </c>
      <c r="N86" s="29"/>
      <c r="O86" s="29"/>
      <c r="P86" s="29">
        <f t="shared" si="25"/>
        <v>0</v>
      </c>
      <c r="Q86" s="29"/>
      <c r="R86" s="29">
        <f t="shared" si="45"/>
        <v>0</v>
      </c>
      <c r="S86" s="29"/>
      <c r="T86" s="29">
        <f t="shared" si="24"/>
        <v>89</v>
      </c>
      <c r="U86" s="29">
        <v>20</v>
      </c>
      <c r="V86" s="29">
        <v>69</v>
      </c>
      <c r="W86" s="29">
        <f t="shared" si="29"/>
        <v>1689</v>
      </c>
      <c r="X86" s="29">
        <f t="shared" si="38"/>
        <v>1758</v>
      </c>
      <c r="Y86" s="29">
        <f t="shared" si="39"/>
        <v>1758</v>
      </c>
      <c r="Z86" s="29">
        <f t="shared" si="26"/>
        <v>1758</v>
      </c>
      <c r="AA86" s="29"/>
      <c r="AB86" s="29"/>
      <c r="AC86" s="29"/>
      <c r="AD86" s="29"/>
      <c r="AE86" s="29"/>
      <c r="AF86" s="29"/>
      <c r="AG86" s="29"/>
      <c r="AH86" s="29"/>
      <c r="AI86" s="29"/>
      <c r="AJ86" s="29"/>
      <c r="AK86" s="29"/>
      <c r="AL86" s="29"/>
      <c r="AM86" s="29"/>
      <c r="AN86" s="29"/>
      <c r="AO86" s="29"/>
      <c r="AP86" s="29">
        <v>1579</v>
      </c>
      <c r="AQ86" s="29"/>
      <c r="AR86" s="29"/>
      <c r="AS86" s="29"/>
      <c r="AT86" s="29"/>
      <c r="AU86" s="30"/>
      <c r="AV86" s="29"/>
      <c r="AW86" s="29"/>
      <c r="AX86" s="29"/>
      <c r="AY86" s="29"/>
      <c r="AZ86" s="29"/>
      <c r="BA86" s="29"/>
      <c r="BB86" s="29"/>
      <c r="BC86" s="29">
        <v>110</v>
      </c>
      <c r="BD86" s="29"/>
      <c r="BE86" s="29"/>
      <c r="BF86" s="29"/>
      <c r="BG86" s="29">
        <v>69</v>
      </c>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f t="shared" si="30"/>
        <v>0</v>
      </c>
      <c r="CW86" s="29">
        <f t="shared" si="31"/>
        <v>0</v>
      </c>
      <c r="CX86" s="31">
        <f t="shared" si="32"/>
        <v>1579</v>
      </c>
      <c r="CY86" s="31">
        <v>0</v>
      </c>
      <c r="CZ86" s="31">
        <f t="shared" si="40"/>
        <v>2.2000000000000455</v>
      </c>
      <c r="DA86" s="88" t="s">
        <v>405</v>
      </c>
      <c r="DB86" s="29">
        <v>1579</v>
      </c>
      <c r="DC86" s="89"/>
      <c r="DD86" s="26"/>
      <c r="DE86" s="26"/>
      <c r="DF86" s="26"/>
      <c r="DG86" s="33"/>
      <c r="DH86" s="45" t="s">
        <v>531</v>
      </c>
      <c r="DI86" s="1" t="s">
        <v>508</v>
      </c>
      <c r="DJ86" s="2" t="s">
        <v>511</v>
      </c>
      <c r="DK86" s="33">
        <f>250+1329</f>
        <v>1579</v>
      </c>
      <c r="DL86" s="71">
        <f t="shared" si="41"/>
        <v>4.3861111111111111</v>
      </c>
      <c r="DM86" s="68">
        <f t="shared" si="33"/>
        <v>118425000</v>
      </c>
      <c r="DN86" s="68">
        <f t="shared" si="34"/>
        <v>355275000</v>
      </c>
      <c r="DO86" s="35">
        <v>3</v>
      </c>
      <c r="DP86" s="33">
        <f t="shared" si="35"/>
        <v>93.487270574304333</v>
      </c>
      <c r="DQ86" s="35">
        <v>12</v>
      </c>
      <c r="DR86" s="69">
        <f t="shared" si="42"/>
        <v>18360000</v>
      </c>
      <c r="DS86" s="33">
        <v>1329</v>
      </c>
      <c r="DT86" s="68">
        <f t="shared" si="43"/>
        <v>39870000</v>
      </c>
      <c r="DU86" s="36">
        <f>DK86</f>
        <v>1579</v>
      </c>
      <c r="DV86" s="68">
        <f t="shared" si="44"/>
        <v>15790000</v>
      </c>
      <c r="DW86" s="69">
        <f t="shared" si="36"/>
        <v>547720000</v>
      </c>
      <c r="DX86" s="33">
        <f t="shared" si="37"/>
        <v>2.2000000000000455</v>
      </c>
    </row>
    <row r="87" spans="1:128" s="38" customFormat="1" ht="36.6" customHeight="1">
      <c r="A87" s="26">
        <v>81</v>
      </c>
      <c r="B87" s="27" t="s">
        <v>363</v>
      </c>
      <c r="C87" s="89" t="s">
        <v>364</v>
      </c>
      <c r="D87" s="89" t="s">
        <v>473</v>
      </c>
      <c r="E87" s="87" t="s">
        <v>201</v>
      </c>
      <c r="F87" s="28" t="s">
        <v>104</v>
      </c>
      <c r="G87" s="26">
        <v>678</v>
      </c>
      <c r="H87" s="26">
        <v>49</v>
      </c>
      <c r="I87" s="29">
        <f>1.4+1133</f>
        <v>1134.4000000000001</v>
      </c>
      <c r="J87" s="88" t="s">
        <v>365</v>
      </c>
      <c r="K87" s="26">
        <v>2</v>
      </c>
      <c r="L87" s="26">
        <v>4</v>
      </c>
      <c r="M87" s="29">
        <f t="shared" si="28"/>
        <v>1292</v>
      </c>
      <c r="N87" s="29"/>
      <c r="O87" s="29"/>
      <c r="P87" s="29">
        <f t="shared" si="25"/>
        <v>0</v>
      </c>
      <c r="Q87" s="29"/>
      <c r="R87" s="29">
        <f t="shared" si="45"/>
        <v>0</v>
      </c>
      <c r="S87" s="29"/>
      <c r="T87" s="29">
        <f t="shared" si="24"/>
        <v>14</v>
      </c>
      <c r="U87" s="29">
        <v>14</v>
      </c>
      <c r="V87" s="29"/>
      <c r="W87" s="29">
        <f t="shared" si="29"/>
        <v>1278</v>
      </c>
      <c r="X87" s="29">
        <f t="shared" si="38"/>
        <v>1278</v>
      </c>
      <c r="Y87" s="29">
        <f t="shared" si="39"/>
        <v>1278</v>
      </c>
      <c r="Z87" s="29">
        <f t="shared" si="26"/>
        <v>1278</v>
      </c>
      <c r="AA87" s="29"/>
      <c r="AB87" s="29"/>
      <c r="AC87" s="29"/>
      <c r="AD87" s="29"/>
      <c r="AE87" s="29"/>
      <c r="AF87" s="29"/>
      <c r="AG87" s="29"/>
      <c r="AH87" s="29"/>
      <c r="AI87" s="29"/>
      <c r="AJ87" s="29"/>
      <c r="AK87" s="29"/>
      <c r="AL87" s="29"/>
      <c r="AM87" s="29"/>
      <c r="AN87" s="29"/>
      <c r="AO87" s="29"/>
      <c r="AP87" s="29">
        <v>1133</v>
      </c>
      <c r="AQ87" s="29"/>
      <c r="AR87" s="29"/>
      <c r="AS87" s="29"/>
      <c r="AT87" s="29"/>
      <c r="AU87" s="30"/>
      <c r="AV87" s="29"/>
      <c r="AW87" s="29"/>
      <c r="AX87" s="29"/>
      <c r="AY87" s="29"/>
      <c r="AZ87" s="29"/>
      <c r="BA87" s="29"/>
      <c r="BB87" s="29"/>
      <c r="BC87" s="29"/>
      <c r="BD87" s="29">
        <f>7+138</f>
        <v>145</v>
      </c>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f t="shared" si="30"/>
        <v>0</v>
      </c>
      <c r="CW87" s="29">
        <f t="shared" si="31"/>
        <v>0</v>
      </c>
      <c r="CX87" s="31">
        <f t="shared" si="32"/>
        <v>1133</v>
      </c>
      <c r="CY87" s="31">
        <v>0</v>
      </c>
      <c r="CZ87" s="31">
        <f t="shared" si="40"/>
        <v>1.4000000000000909</v>
      </c>
      <c r="DA87" s="88" t="s">
        <v>405</v>
      </c>
      <c r="DB87" s="29">
        <v>1133</v>
      </c>
      <c r="DC87" s="89"/>
      <c r="DD87" s="26"/>
      <c r="DE87" s="26"/>
      <c r="DF87" s="26"/>
      <c r="DG87" s="33"/>
      <c r="DH87" s="39" t="s">
        <v>473</v>
      </c>
      <c r="DI87" s="1" t="s">
        <v>508</v>
      </c>
      <c r="DJ87" s="2" t="s">
        <v>511</v>
      </c>
      <c r="DK87" s="33">
        <f>268+865</f>
        <v>1133</v>
      </c>
      <c r="DL87" s="71">
        <f t="shared" si="41"/>
        <v>3.1472222222222221</v>
      </c>
      <c r="DM87" s="68">
        <f t="shared" si="33"/>
        <v>84975000</v>
      </c>
      <c r="DN87" s="68">
        <f t="shared" si="34"/>
        <v>254925000</v>
      </c>
      <c r="DO87" s="35">
        <v>6</v>
      </c>
      <c r="DP87" s="33">
        <f t="shared" si="35"/>
        <v>88.654147104851333</v>
      </c>
      <c r="DQ87" s="35">
        <v>12</v>
      </c>
      <c r="DR87" s="69">
        <f t="shared" si="42"/>
        <v>36720000</v>
      </c>
      <c r="DS87" s="33">
        <v>865.00000000000011</v>
      </c>
      <c r="DT87" s="68">
        <f t="shared" si="43"/>
        <v>25950000</v>
      </c>
      <c r="DU87" s="36">
        <f>DK87</f>
        <v>1133</v>
      </c>
      <c r="DV87" s="68">
        <f t="shared" si="44"/>
        <v>11330000</v>
      </c>
      <c r="DW87" s="69">
        <f t="shared" si="36"/>
        <v>413900000</v>
      </c>
      <c r="DX87" s="33">
        <f t="shared" si="37"/>
        <v>1.4000000000000909</v>
      </c>
    </row>
    <row r="88" spans="1:128" s="38" customFormat="1" ht="24.75" customHeight="1">
      <c r="A88" s="26">
        <v>82</v>
      </c>
      <c r="B88" s="27" t="s">
        <v>366</v>
      </c>
      <c r="C88" s="89" t="s">
        <v>367</v>
      </c>
      <c r="D88" s="88" t="s">
        <v>441</v>
      </c>
      <c r="E88" s="87" t="s">
        <v>109</v>
      </c>
      <c r="F88" s="28" t="s">
        <v>104</v>
      </c>
      <c r="G88" s="26">
        <v>679</v>
      </c>
      <c r="H88" s="26">
        <v>49</v>
      </c>
      <c r="I88" s="29">
        <f>1.6+1966</f>
        <v>1967.6</v>
      </c>
      <c r="J88" s="88" t="s">
        <v>368</v>
      </c>
      <c r="K88" s="26">
        <v>4</v>
      </c>
      <c r="L88" s="26">
        <v>4</v>
      </c>
      <c r="M88" s="29">
        <f t="shared" si="28"/>
        <v>2264</v>
      </c>
      <c r="N88" s="29"/>
      <c r="O88" s="29"/>
      <c r="P88" s="29">
        <f t="shared" si="25"/>
        <v>0</v>
      </c>
      <c r="Q88" s="29"/>
      <c r="R88" s="29">
        <f t="shared" si="45"/>
        <v>0</v>
      </c>
      <c r="S88" s="29"/>
      <c r="T88" s="29">
        <f t="shared" si="24"/>
        <v>24</v>
      </c>
      <c r="U88" s="29">
        <v>24</v>
      </c>
      <c r="V88" s="29"/>
      <c r="W88" s="29">
        <f t="shared" si="29"/>
        <v>2240</v>
      </c>
      <c r="X88" s="29">
        <f t="shared" si="38"/>
        <v>2240</v>
      </c>
      <c r="Y88" s="29">
        <f t="shared" si="39"/>
        <v>2240</v>
      </c>
      <c r="Z88" s="29">
        <f t="shared" si="26"/>
        <v>2240</v>
      </c>
      <c r="AA88" s="29"/>
      <c r="AB88" s="29"/>
      <c r="AC88" s="29"/>
      <c r="AD88" s="29"/>
      <c r="AE88" s="29"/>
      <c r="AF88" s="29"/>
      <c r="AG88" s="29"/>
      <c r="AH88" s="29"/>
      <c r="AI88" s="29"/>
      <c r="AJ88" s="29"/>
      <c r="AK88" s="29"/>
      <c r="AL88" s="29"/>
      <c r="AM88" s="29"/>
      <c r="AN88" s="29"/>
      <c r="AO88" s="29"/>
      <c r="AP88" s="29">
        <v>1966</v>
      </c>
      <c r="AQ88" s="29"/>
      <c r="AR88" s="29"/>
      <c r="AS88" s="29"/>
      <c r="AT88" s="29"/>
      <c r="AU88" s="30"/>
      <c r="AV88" s="29"/>
      <c r="AW88" s="29"/>
      <c r="AX88" s="29"/>
      <c r="AY88" s="29"/>
      <c r="AZ88" s="29"/>
      <c r="BA88" s="29"/>
      <c r="BB88" s="29"/>
      <c r="BC88" s="29">
        <v>138</v>
      </c>
      <c r="BD88" s="29">
        <v>136</v>
      </c>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f t="shared" si="30"/>
        <v>0</v>
      </c>
      <c r="CW88" s="29">
        <f t="shared" si="31"/>
        <v>0</v>
      </c>
      <c r="CX88" s="31">
        <f t="shared" si="32"/>
        <v>1313</v>
      </c>
      <c r="CY88" s="31">
        <v>0</v>
      </c>
      <c r="CZ88" s="31">
        <f t="shared" si="40"/>
        <v>654.59999999999991</v>
      </c>
      <c r="DA88" s="88" t="s">
        <v>405</v>
      </c>
      <c r="DB88" s="29">
        <v>1966</v>
      </c>
      <c r="DC88" s="89"/>
      <c r="DD88" s="26"/>
      <c r="DE88" s="26"/>
      <c r="DF88" s="26"/>
      <c r="DG88" s="33"/>
      <c r="DH88" s="45" t="s">
        <v>504</v>
      </c>
      <c r="DI88" s="1" t="s">
        <v>508</v>
      </c>
      <c r="DJ88" s="2" t="s">
        <v>511</v>
      </c>
      <c r="DK88" s="33">
        <v>1313</v>
      </c>
      <c r="DL88" s="71">
        <f t="shared" si="41"/>
        <v>3.6472222222222221</v>
      </c>
      <c r="DM88" s="68">
        <f t="shared" si="33"/>
        <v>98475000</v>
      </c>
      <c r="DN88" s="68">
        <f t="shared" si="34"/>
        <v>295425000</v>
      </c>
      <c r="DO88" s="35">
        <v>4</v>
      </c>
      <c r="DP88" s="33">
        <f t="shared" si="35"/>
        <v>58.616071428571423</v>
      </c>
      <c r="DQ88" s="35">
        <v>6</v>
      </c>
      <c r="DR88" s="69">
        <f t="shared" si="42"/>
        <v>12240000</v>
      </c>
      <c r="DS88" s="33">
        <v>1313</v>
      </c>
      <c r="DT88" s="68">
        <f t="shared" si="43"/>
        <v>39390000</v>
      </c>
      <c r="DU88" s="36">
        <v>1313</v>
      </c>
      <c r="DV88" s="68">
        <f t="shared" si="44"/>
        <v>13130000</v>
      </c>
      <c r="DW88" s="69">
        <f t="shared" si="36"/>
        <v>458660000</v>
      </c>
      <c r="DX88" s="33">
        <f t="shared" si="37"/>
        <v>654.59999999999991</v>
      </c>
    </row>
    <row r="89" spans="1:128" s="38" customFormat="1" ht="36.6" customHeight="1">
      <c r="A89" s="26">
        <v>83</v>
      </c>
      <c r="B89" s="27" t="s">
        <v>369</v>
      </c>
      <c r="C89" s="89" t="s">
        <v>370</v>
      </c>
      <c r="D89" s="89" t="s">
        <v>474</v>
      </c>
      <c r="E89" s="87" t="s">
        <v>109</v>
      </c>
      <c r="F89" s="28" t="s">
        <v>104</v>
      </c>
      <c r="G89" s="26">
        <v>680</v>
      </c>
      <c r="H89" s="26">
        <v>49</v>
      </c>
      <c r="I89" s="29">
        <f>1.5+720</f>
        <v>721.5</v>
      </c>
      <c r="J89" s="88" t="s">
        <v>371</v>
      </c>
      <c r="K89" s="26">
        <v>6</v>
      </c>
      <c r="L89" s="26">
        <v>8</v>
      </c>
      <c r="M89" s="29">
        <f t="shared" si="28"/>
        <v>3556</v>
      </c>
      <c r="N89" s="29"/>
      <c r="O89" s="29"/>
      <c r="P89" s="29">
        <f t="shared" si="25"/>
        <v>0</v>
      </c>
      <c r="Q89" s="29"/>
      <c r="R89" s="29">
        <f t="shared" si="45"/>
        <v>0</v>
      </c>
      <c r="S89" s="29"/>
      <c r="T89" s="29">
        <f t="shared" si="24"/>
        <v>23</v>
      </c>
      <c r="U89" s="29">
        <v>23</v>
      </c>
      <c r="V89" s="29"/>
      <c r="W89" s="29">
        <f t="shared" si="29"/>
        <v>3533</v>
      </c>
      <c r="X89" s="29">
        <f t="shared" si="38"/>
        <v>3533</v>
      </c>
      <c r="Y89" s="29">
        <f t="shared" si="39"/>
        <v>3533</v>
      </c>
      <c r="Z89" s="29">
        <f t="shared" si="26"/>
        <v>3533</v>
      </c>
      <c r="AA89" s="29"/>
      <c r="AB89" s="29"/>
      <c r="AC89" s="29"/>
      <c r="AD89" s="29"/>
      <c r="AE89" s="29"/>
      <c r="AF89" s="29"/>
      <c r="AG89" s="29"/>
      <c r="AH89" s="29"/>
      <c r="AI89" s="29"/>
      <c r="AJ89" s="29"/>
      <c r="AK89" s="29"/>
      <c r="AL89" s="29"/>
      <c r="AM89" s="29"/>
      <c r="AN89" s="29"/>
      <c r="AO89" s="29"/>
      <c r="AP89" s="29">
        <f>726+720</f>
        <v>1446</v>
      </c>
      <c r="AQ89" s="29"/>
      <c r="AR89" s="29">
        <v>1132</v>
      </c>
      <c r="AS89" s="29"/>
      <c r="AT89" s="29"/>
      <c r="AU89" s="30">
        <v>955</v>
      </c>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f t="shared" si="30"/>
        <v>0</v>
      </c>
      <c r="CW89" s="29">
        <f t="shared" si="31"/>
        <v>0</v>
      </c>
      <c r="CX89" s="31">
        <f t="shared" si="32"/>
        <v>422.20000000000005</v>
      </c>
      <c r="CY89" s="31">
        <v>0</v>
      </c>
      <c r="CZ89" s="31">
        <f t="shared" si="40"/>
        <v>299.29999999999995</v>
      </c>
      <c r="DA89" s="88" t="s">
        <v>405</v>
      </c>
      <c r="DB89" s="29">
        <v>720</v>
      </c>
      <c r="DC89" s="89"/>
      <c r="DD89" s="26"/>
      <c r="DE89" s="26"/>
      <c r="DF89" s="26"/>
      <c r="DG89" s="33"/>
      <c r="DH89" s="39" t="s">
        <v>474</v>
      </c>
      <c r="DI89" s="1" t="s">
        <v>508</v>
      </c>
      <c r="DJ89" s="2" t="s">
        <v>511</v>
      </c>
      <c r="DK89" s="33">
        <v>422.20000000000005</v>
      </c>
      <c r="DL89" s="71">
        <f t="shared" si="41"/>
        <v>1.1727777777777779</v>
      </c>
      <c r="DM89" s="68">
        <f t="shared" si="33"/>
        <v>31665000</v>
      </c>
      <c r="DN89" s="68">
        <f t="shared" si="34"/>
        <v>94995000</v>
      </c>
      <c r="DO89" s="35">
        <v>11</v>
      </c>
      <c r="DP89" s="33">
        <f t="shared" si="35"/>
        <v>11.95018397962072</v>
      </c>
      <c r="DQ89" s="35">
        <v>3</v>
      </c>
      <c r="DR89" s="69">
        <f t="shared" si="42"/>
        <v>16830000</v>
      </c>
      <c r="DS89" s="33">
        <v>422.20000000000005</v>
      </c>
      <c r="DT89" s="68">
        <f t="shared" si="43"/>
        <v>12666000</v>
      </c>
      <c r="DU89" s="36">
        <v>422.20000000000005</v>
      </c>
      <c r="DV89" s="68">
        <f t="shared" si="44"/>
        <v>4222000</v>
      </c>
      <c r="DW89" s="69">
        <f t="shared" si="36"/>
        <v>160378000</v>
      </c>
      <c r="DX89" s="33">
        <f t="shared" si="37"/>
        <v>299.29999999999995</v>
      </c>
    </row>
    <row r="90" spans="1:128" s="38" customFormat="1" ht="36.6" customHeight="1">
      <c r="A90" s="26">
        <v>84</v>
      </c>
      <c r="B90" s="27" t="s">
        <v>372</v>
      </c>
      <c r="C90" s="89" t="s">
        <v>373</v>
      </c>
      <c r="D90" s="89" t="s">
        <v>475</v>
      </c>
      <c r="E90" s="87" t="s">
        <v>109</v>
      </c>
      <c r="F90" s="28" t="s">
        <v>104</v>
      </c>
      <c r="G90" s="26">
        <v>681</v>
      </c>
      <c r="H90" s="26">
        <v>49</v>
      </c>
      <c r="I90" s="29">
        <f>8+1155</f>
        <v>1163</v>
      </c>
      <c r="J90" s="88" t="s">
        <v>374</v>
      </c>
      <c r="K90" s="26">
        <v>3</v>
      </c>
      <c r="L90" s="26">
        <v>3</v>
      </c>
      <c r="M90" s="29">
        <f t="shared" si="28"/>
        <v>1698</v>
      </c>
      <c r="N90" s="29"/>
      <c r="O90" s="29"/>
      <c r="P90" s="29">
        <f t="shared" si="25"/>
        <v>0</v>
      </c>
      <c r="Q90" s="29"/>
      <c r="R90" s="29">
        <f t="shared" si="45"/>
        <v>0</v>
      </c>
      <c r="S90" s="29"/>
      <c r="T90" s="29">
        <f t="shared" si="24"/>
        <v>14</v>
      </c>
      <c r="U90" s="29">
        <v>14</v>
      </c>
      <c r="V90" s="29"/>
      <c r="W90" s="29">
        <f t="shared" si="29"/>
        <v>1684</v>
      </c>
      <c r="X90" s="29">
        <f t="shared" si="38"/>
        <v>1684</v>
      </c>
      <c r="Y90" s="29">
        <f t="shared" si="39"/>
        <v>1684</v>
      </c>
      <c r="Z90" s="29">
        <f t="shared" si="26"/>
        <v>1684</v>
      </c>
      <c r="AA90" s="29"/>
      <c r="AB90" s="29"/>
      <c r="AC90" s="29"/>
      <c r="AD90" s="29"/>
      <c r="AE90" s="29"/>
      <c r="AF90" s="29"/>
      <c r="AG90" s="29"/>
      <c r="AH90" s="29"/>
      <c r="AI90" s="29"/>
      <c r="AJ90" s="29"/>
      <c r="AK90" s="29"/>
      <c r="AL90" s="29"/>
      <c r="AM90" s="29"/>
      <c r="AN90" s="29"/>
      <c r="AO90" s="29"/>
      <c r="AP90" s="29">
        <v>1155</v>
      </c>
      <c r="AQ90" s="29"/>
      <c r="AR90" s="29"/>
      <c r="AS90" s="29"/>
      <c r="AT90" s="29"/>
      <c r="AU90" s="30"/>
      <c r="AV90" s="29"/>
      <c r="AW90" s="29"/>
      <c r="AX90" s="29"/>
      <c r="AY90" s="29"/>
      <c r="AZ90" s="29"/>
      <c r="BA90" s="29"/>
      <c r="BB90" s="29"/>
      <c r="BC90" s="29">
        <v>529</v>
      </c>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f t="shared" si="30"/>
        <v>0</v>
      </c>
      <c r="CW90" s="29">
        <f t="shared" si="31"/>
        <v>0</v>
      </c>
      <c r="CX90" s="31">
        <f t="shared" si="32"/>
        <v>619.29999999999995</v>
      </c>
      <c r="CY90" s="31">
        <v>0</v>
      </c>
      <c r="CZ90" s="31">
        <f t="shared" si="40"/>
        <v>543.70000000000005</v>
      </c>
      <c r="DA90" s="88" t="s">
        <v>405</v>
      </c>
      <c r="DB90" s="29">
        <v>1155</v>
      </c>
      <c r="DC90" s="89"/>
      <c r="DD90" s="26"/>
      <c r="DE90" s="26"/>
      <c r="DF90" s="26"/>
      <c r="DG90" s="33"/>
      <c r="DH90" s="39" t="s">
        <v>475</v>
      </c>
      <c r="DI90" s="1" t="s">
        <v>508</v>
      </c>
      <c r="DJ90" s="2" t="s">
        <v>511</v>
      </c>
      <c r="DK90" s="33">
        <v>619.29999999999995</v>
      </c>
      <c r="DL90" s="71">
        <f t="shared" si="41"/>
        <v>1.7202777777777776</v>
      </c>
      <c r="DM90" s="68">
        <f t="shared" si="33"/>
        <v>46448000</v>
      </c>
      <c r="DN90" s="68">
        <f t="shared" si="34"/>
        <v>139343000</v>
      </c>
      <c r="DO90" s="35">
        <v>3</v>
      </c>
      <c r="DP90" s="33">
        <f t="shared" si="35"/>
        <v>36.775534441805227</v>
      </c>
      <c r="DQ90" s="35">
        <v>6</v>
      </c>
      <c r="DR90" s="69">
        <f t="shared" si="42"/>
        <v>9180000</v>
      </c>
      <c r="DS90" s="33">
        <v>619.29999999999995</v>
      </c>
      <c r="DT90" s="68">
        <f t="shared" si="43"/>
        <v>18579000</v>
      </c>
      <c r="DU90" s="36">
        <v>619.29999999999995</v>
      </c>
      <c r="DV90" s="68">
        <f t="shared" si="44"/>
        <v>6193000</v>
      </c>
      <c r="DW90" s="69">
        <f t="shared" si="36"/>
        <v>219743000</v>
      </c>
      <c r="DX90" s="33">
        <f t="shared" si="37"/>
        <v>543.70000000000005</v>
      </c>
    </row>
    <row r="91" spans="1:128" s="38" customFormat="1" ht="39.75" customHeight="1">
      <c r="A91" s="26">
        <v>85</v>
      </c>
      <c r="B91" s="27" t="s">
        <v>375</v>
      </c>
      <c r="C91" s="89" t="s">
        <v>376</v>
      </c>
      <c r="D91" s="88" t="s">
        <v>378</v>
      </c>
      <c r="E91" s="87" t="s">
        <v>109</v>
      </c>
      <c r="F91" s="28" t="s">
        <v>104</v>
      </c>
      <c r="G91" s="26">
        <v>682</v>
      </c>
      <c r="H91" s="26">
        <v>49</v>
      </c>
      <c r="I91" s="29">
        <f>5.2+1550</f>
        <v>1555.2</v>
      </c>
      <c r="J91" s="88" t="s">
        <v>377</v>
      </c>
      <c r="K91" s="26">
        <v>4</v>
      </c>
      <c r="L91" s="26">
        <v>6</v>
      </c>
      <c r="M91" s="29">
        <f t="shared" si="28"/>
        <v>2424</v>
      </c>
      <c r="N91" s="29"/>
      <c r="O91" s="29"/>
      <c r="P91" s="29">
        <f t="shared" si="25"/>
        <v>0</v>
      </c>
      <c r="Q91" s="29"/>
      <c r="R91" s="29">
        <v>65</v>
      </c>
      <c r="S91" s="29">
        <v>32</v>
      </c>
      <c r="T91" s="29">
        <f t="shared" si="24"/>
        <v>18</v>
      </c>
      <c r="U91" s="29">
        <v>18</v>
      </c>
      <c r="V91" s="29"/>
      <c r="W91" s="29">
        <f t="shared" si="29"/>
        <v>2439</v>
      </c>
      <c r="X91" s="29">
        <f t="shared" si="38"/>
        <v>2374</v>
      </c>
      <c r="Y91" s="29">
        <f t="shared" si="39"/>
        <v>2374</v>
      </c>
      <c r="Z91" s="29">
        <f t="shared" si="26"/>
        <v>2439</v>
      </c>
      <c r="AA91" s="29"/>
      <c r="AB91" s="29"/>
      <c r="AC91" s="29"/>
      <c r="AD91" s="29"/>
      <c r="AE91" s="29"/>
      <c r="AF91" s="29"/>
      <c r="AG91" s="29"/>
      <c r="AH91" s="29"/>
      <c r="AI91" s="29"/>
      <c r="AJ91" s="29"/>
      <c r="AK91" s="29"/>
      <c r="AL91" s="29"/>
      <c r="AM91" s="29"/>
      <c r="AN91" s="29"/>
      <c r="AO91" s="29"/>
      <c r="AP91" s="29">
        <v>1550</v>
      </c>
      <c r="AQ91" s="29"/>
      <c r="AR91" s="29"/>
      <c r="AS91" s="29"/>
      <c r="AT91" s="29"/>
      <c r="AU91" s="30">
        <v>207</v>
      </c>
      <c r="AV91" s="29"/>
      <c r="AW91" s="29"/>
      <c r="AX91" s="29"/>
      <c r="AY91" s="29"/>
      <c r="AZ91" s="29"/>
      <c r="BA91" s="29"/>
      <c r="BB91" s="29"/>
      <c r="BC91" s="29">
        <v>617</v>
      </c>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f t="shared" si="30"/>
        <v>0</v>
      </c>
      <c r="CW91" s="29">
        <f t="shared" si="31"/>
        <v>65</v>
      </c>
      <c r="CX91" s="31">
        <f t="shared" si="32"/>
        <v>704.1</v>
      </c>
      <c r="CY91" s="31">
        <v>0</v>
      </c>
      <c r="CZ91" s="31">
        <f t="shared" si="40"/>
        <v>851.1</v>
      </c>
      <c r="DA91" s="88" t="s">
        <v>405</v>
      </c>
      <c r="DB91" s="29">
        <v>1550</v>
      </c>
      <c r="DC91" s="89"/>
      <c r="DD91" s="26"/>
      <c r="DE91" s="26"/>
      <c r="DF91" s="26"/>
      <c r="DG91" s="33"/>
      <c r="DH91" s="45" t="s">
        <v>505</v>
      </c>
      <c r="DI91" s="1" t="s">
        <v>508</v>
      </c>
      <c r="DJ91" s="2" t="s">
        <v>511</v>
      </c>
      <c r="DK91" s="33">
        <v>704.1</v>
      </c>
      <c r="DL91" s="71">
        <f t="shared" si="41"/>
        <v>1.9558333333333333</v>
      </c>
      <c r="DM91" s="68">
        <f t="shared" si="33"/>
        <v>52808000</v>
      </c>
      <c r="DN91" s="68">
        <f t="shared" si="34"/>
        <v>158423000</v>
      </c>
      <c r="DO91" s="35">
        <v>4</v>
      </c>
      <c r="DP91" s="33">
        <f t="shared" si="35"/>
        <v>28.868388683886842</v>
      </c>
      <c r="DQ91" s="35">
        <v>5</v>
      </c>
      <c r="DR91" s="69">
        <f t="shared" si="42"/>
        <v>10200000</v>
      </c>
      <c r="DS91" s="33">
        <v>704.1</v>
      </c>
      <c r="DT91" s="68">
        <f t="shared" si="43"/>
        <v>21123000</v>
      </c>
      <c r="DU91" s="36">
        <v>704.1</v>
      </c>
      <c r="DV91" s="68">
        <f t="shared" si="44"/>
        <v>7041000</v>
      </c>
      <c r="DW91" s="69">
        <f t="shared" si="36"/>
        <v>249595000</v>
      </c>
      <c r="DX91" s="33">
        <f t="shared" si="37"/>
        <v>851.1</v>
      </c>
    </row>
    <row r="92" spans="1:128" s="38" customFormat="1" ht="36.6" customHeight="1">
      <c r="A92" s="26">
        <v>86</v>
      </c>
      <c r="B92" s="27" t="s">
        <v>379</v>
      </c>
      <c r="C92" s="89" t="s">
        <v>380</v>
      </c>
      <c r="D92" s="89" t="s">
        <v>476</v>
      </c>
      <c r="E92" s="87" t="s">
        <v>109</v>
      </c>
      <c r="F92" s="28" t="s">
        <v>104</v>
      </c>
      <c r="G92" s="26">
        <v>683</v>
      </c>
      <c r="H92" s="26">
        <v>49</v>
      </c>
      <c r="I92" s="29">
        <f>0.7+2030</f>
        <v>2030.7</v>
      </c>
      <c r="J92" s="88" t="s">
        <v>409</v>
      </c>
      <c r="K92" s="26">
        <v>6</v>
      </c>
      <c r="L92" s="26">
        <v>5</v>
      </c>
      <c r="M92" s="29">
        <f t="shared" si="28"/>
        <v>3316</v>
      </c>
      <c r="N92" s="29"/>
      <c r="O92" s="29"/>
      <c r="P92" s="29">
        <f t="shared" si="25"/>
        <v>0</v>
      </c>
      <c r="Q92" s="29"/>
      <c r="R92" s="29">
        <f t="shared" ref="R92:R98" si="46">S92*2</f>
        <v>0</v>
      </c>
      <c r="S92" s="29"/>
      <c r="T92" s="29">
        <f t="shared" si="24"/>
        <v>900</v>
      </c>
      <c r="U92" s="29">
        <v>20</v>
      </c>
      <c r="V92" s="29">
        <v>880</v>
      </c>
      <c r="W92" s="29">
        <f t="shared" si="29"/>
        <v>2416</v>
      </c>
      <c r="X92" s="29">
        <f t="shared" si="38"/>
        <v>3296</v>
      </c>
      <c r="Y92" s="29">
        <f t="shared" si="39"/>
        <v>3296</v>
      </c>
      <c r="Z92" s="29">
        <f t="shared" si="26"/>
        <v>3296</v>
      </c>
      <c r="AA92" s="29"/>
      <c r="AB92" s="29"/>
      <c r="AC92" s="29"/>
      <c r="AD92" s="29"/>
      <c r="AE92" s="29"/>
      <c r="AF92" s="29"/>
      <c r="AG92" s="29"/>
      <c r="AH92" s="29"/>
      <c r="AI92" s="29"/>
      <c r="AJ92" s="29"/>
      <c r="AK92" s="29"/>
      <c r="AL92" s="29"/>
      <c r="AM92" s="29"/>
      <c r="AN92" s="29"/>
      <c r="AO92" s="29"/>
      <c r="AP92" s="29">
        <f>688+1342</f>
        <v>2030</v>
      </c>
      <c r="AQ92" s="29"/>
      <c r="AR92" s="29">
        <v>880</v>
      </c>
      <c r="AS92" s="29"/>
      <c r="AT92" s="29"/>
      <c r="AU92" s="30">
        <v>386</v>
      </c>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29"/>
      <c r="CQ92" s="29"/>
      <c r="CR92" s="29"/>
      <c r="CS92" s="29"/>
      <c r="CT92" s="29"/>
      <c r="CU92" s="29"/>
      <c r="CV92" s="29">
        <f t="shared" si="30"/>
        <v>0</v>
      </c>
      <c r="CW92" s="29">
        <f t="shared" si="31"/>
        <v>0</v>
      </c>
      <c r="CX92" s="31">
        <f t="shared" si="32"/>
        <v>712.4</v>
      </c>
      <c r="CY92" s="31">
        <v>0</v>
      </c>
      <c r="CZ92" s="31">
        <f t="shared" si="40"/>
        <v>1318.3000000000002</v>
      </c>
      <c r="DA92" s="88" t="s">
        <v>406</v>
      </c>
      <c r="DB92" s="29">
        <f>688+1342</f>
        <v>2030</v>
      </c>
      <c r="DC92" s="89" t="s">
        <v>380</v>
      </c>
      <c r="DD92" s="26" t="s">
        <v>381</v>
      </c>
      <c r="DE92" s="32" t="s">
        <v>137</v>
      </c>
      <c r="DF92" s="26">
        <v>4</v>
      </c>
      <c r="DG92" s="33">
        <v>2030.7</v>
      </c>
      <c r="DH92" s="39" t="s">
        <v>476</v>
      </c>
      <c r="DI92" s="1" t="s">
        <v>508</v>
      </c>
      <c r="DJ92" s="2" t="s">
        <v>511</v>
      </c>
      <c r="DK92" s="33">
        <v>712.4</v>
      </c>
      <c r="DL92" s="71">
        <f t="shared" si="41"/>
        <v>1.9788888888888889</v>
      </c>
      <c r="DM92" s="68">
        <f t="shared" si="33"/>
        <v>53430000</v>
      </c>
      <c r="DN92" s="68">
        <f t="shared" si="34"/>
        <v>160290000</v>
      </c>
      <c r="DO92" s="35">
        <v>8</v>
      </c>
      <c r="DP92" s="33">
        <f t="shared" si="35"/>
        <v>29.486754966887418</v>
      </c>
      <c r="DQ92" s="35">
        <v>5</v>
      </c>
      <c r="DR92" s="69">
        <f t="shared" si="42"/>
        <v>20400000</v>
      </c>
      <c r="DS92" s="33">
        <v>712.4</v>
      </c>
      <c r="DT92" s="68">
        <f t="shared" si="43"/>
        <v>21372000</v>
      </c>
      <c r="DU92" s="36">
        <v>712.4</v>
      </c>
      <c r="DV92" s="68">
        <f t="shared" si="44"/>
        <v>7124000</v>
      </c>
      <c r="DW92" s="69">
        <f t="shared" si="36"/>
        <v>262616000</v>
      </c>
      <c r="DX92" s="33">
        <f t="shared" si="37"/>
        <v>1318.3000000000002</v>
      </c>
    </row>
    <row r="93" spans="1:128" s="38" customFormat="1" ht="39.75" customHeight="1">
      <c r="A93" s="26">
        <v>87</v>
      </c>
      <c r="B93" s="27" t="s">
        <v>382</v>
      </c>
      <c r="C93" s="89" t="s">
        <v>352</v>
      </c>
      <c r="D93" s="89" t="s">
        <v>477</v>
      </c>
      <c r="E93" s="87" t="s">
        <v>109</v>
      </c>
      <c r="F93" s="28" t="s">
        <v>104</v>
      </c>
      <c r="G93" s="26">
        <v>684</v>
      </c>
      <c r="H93" s="26">
        <v>49</v>
      </c>
      <c r="I93" s="29">
        <f>384.3+2+386.7</f>
        <v>773</v>
      </c>
      <c r="J93" s="88" t="s">
        <v>383</v>
      </c>
      <c r="K93" s="26">
        <v>3</v>
      </c>
      <c r="L93" s="26">
        <v>4</v>
      </c>
      <c r="M93" s="29">
        <f t="shared" si="28"/>
        <v>1778</v>
      </c>
      <c r="N93" s="29"/>
      <c r="O93" s="29"/>
      <c r="P93" s="29">
        <f t="shared" si="25"/>
        <v>0</v>
      </c>
      <c r="Q93" s="29"/>
      <c r="R93" s="29">
        <f t="shared" si="46"/>
        <v>0</v>
      </c>
      <c r="S93" s="29"/>
      <c r="T93" s="29">
        <f t="shared" si="24"/>
        <v>9</v>
      </c>
      <c r="U93" s="29">
        <v>9</v>
      </c>
      <c r="V93" s="29"/>
      <c r="W93" s="29">
        <f t="shared" si="29"/>
        <v>1769</v>
      </c>
      <c r="X93" s="29">
        <f t="shared" si="38"/>
        <v>1769</v>
      </c>
      <c r="Y93" s="29">
        <f t="shared" si="39"/>
        <v>1769</v>
      </c>
      <c r="Z93" s="29">
        <f t="shared" si="26"/>
        <v>1769</v>
      </c>
      <c r="AA93" s="29"/>
      <c r="AB93" s="29"/>
      <c r="AC93" s="29"/>
      <c r="AD93" s="29"/>
      <c r="AE93" s="29"/>
      <c r="AF93" s="29"/>
      <c r="AG93" s="29"/>
      <c r="AH93" s="29"/>
      <c r="AI93" s="29"/>
      <c r="AJ93" s="29"/>
      <c r="AK93" s="29"/>
      <c r="AL93" s="29"/>
      <c r="AM93" s="29"/>
      <c r="AN93" s="29"/>
      <c r="AO93" s="29"/>
      <c r="AP93" s="29">
        <v>771</v>
      </c>
      <c r="AQ93" s="29"/>
      <c r="AR93" s="29"/>
      <c r="AS93" s="29"/>
      <c r="AT93" s="29"/>
      <c r="AU93" s="30">
        <v>771</v>
      </c>
      <c r="AV93" s="29"/>
      <c r="AW93" s="29"/>
      <c r="AX93" s="29"/>
      <c r="AY93" s="29"/>
      <c r="AZ93" s="29"/>
      <c r="BA93" s="29"/>
      <c r="BB93" s="29"/>
      <c r="BC93" s="29">
        <f>11+216</f>
        <v>227</v>
      </c>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f t="shared" si="30"/>
        <v>0</v>
      </c>
      <c r="CW93" s="29">
        <f t="shared" si="31"/>
        <v>0</v>
      </c>
      <c r="CX93" s="31">
        <f t="shared" si="32"/>
        <v>194.7</v>
      </c>
      <c r="CY93" s="31">
        <v>0</v>
      </c>
      <c r="CZ93" s="31">
        <f t="shared" si="40"/>
        <v>578.29999999999995</v>
      </c>
      <c r="DA93" s="88" t="s">
        <v>405</v>
      </c>
      <c r="DB93" s="29">
        <v>771</v>
      </c>
      <c r="DC93" s="89" t="s">
        <v>352</v>
      </c>
      <c r="DD93" s="26" t="s">
        <v>384</v>
      </c>
      <c r="DE93" s="32" t="s">
        <v>137</v>
      </c>
      <c r="DF93" s="26">
        <v>4</v>
      </c>
      <c r="DG93" s="33">
        <f>386.7</f>
        <v>386.7</v>
      </c>
      <c r="DH93" s="39" t="s">
        <v>477</v>
      </c>
      <c r="DI93" s="1" t="s">
        <v>508</v>
      </c>
      <c r="DJ93" s="2" t="s">
        <v>511</v>
      </c>
      <c r="DK93" s="33">
        <f>92.9+101.8</f>
        <v>194.7</v>
      </c>
      <c r="DL93" s="71">
        <f t="shared" si="41"/>
        <v>0.54083333333333328</v>
      </c>
      <c r="DM93" s="68">
        <f t="shared" si="33"/>
        <v>14603000</v>
      </c>
      <c r="DN93" s="68">
        <f t="shared" si="34"/>
        <v>43808000</v>
      </c>
      <c r="DO93" s="35">
        <v>4</v>
      </c>
      <c r="DP93" s="33">
        <f t="shared" si="35"/>
        <v>11.006218202374223</v>
      </c>
      <c r="DQ93" s="35">
        <v>3</v>
      </c>
      <c r="DR93" s="69">
        <f t="shared" si="42"/>
        <v>6120000</v>
      </c>
      <c r="DS93" s="33">
        <v>194.7</v>
      </c>
      <c r="DT93" s="68">
        <f t="shared" si="43"/>
        <v>5841000</v>
      </c>
      <c r="DU93" s="36">
        <v>194.7</v>
      </c>
      <c r="DV93" s="68">
        <f t="shared" si="44"/>
        <v>1947000</v>
      </c>
      <c r="DW93" s="69">
        <f t="shared" si="36"/>
        <v>72319000</v>
      </c>
      <c r="DX93" s="33">
        <f t="shared" si="37"/>
        <v>578.29999999999995</v>
      </c>
    </row>
    <row r="94" spans="1:128" s="38" customFormat="1" ht="23.25" customHeight="1">
      <c r="A94" s="26">
        <v>88</v>
      </c>
      <c r="B94" s="27" t="s">
        <v>385</v>
      </c>
      <c r="C94" s="89" t="s">
        <v>386</v>
      </c>
      <c r="D94" s="89" t="s">
        <v>386</v>
      </c>
      <c r="E94" s="87" t="s">
        <v>109</v>
      </c>
      <c r="F94" s="28" t="s">
        <v>104</v>
      </c>
      <c r="G94" s="26">
        <v>685</v>
      </c>
      <c r="H94" s="26">
        <v>49</v>
      </c>
      <c r="I94" s="29">
        <v>363.1</v>
      </c>
      <c r="J94" s="88" t="s">
        <v>386</v>
      </c>
      <c r="K94" s="26">
        <v>1</v>
      </c>
      <c r="L94" s="26">
        <v>1</v>
      </c>
      <c r="M94" s="29">
        <f t="shared" si="28"/>
        <v>566</v>
      </c>
      <c r="N94" s="29"/>
      <c r="O94" s="29"/>
      <c r="P94" s="29">
        <f t="shared" si="25"/>
        <v>0</v>
      </c>
      <c r="Q94" s="29"/>
      <c r="R94" s="29">
        <f t="shared" si="46"/>
        <v>0</v>
      </c>
      <c r="S94" s="29"/>
      <c r="T94" s="29">
        <f t="shared" si="24"/>
        <v>5</v>
      </c>
      <c r="U94" s="29">
        <v>5</v>
      </c>
      <c r="V94" s="29"/>
      <c r="W94" s="29">
        <f t="shared" si="29"/>
        <v>561</v>
      </c>
      <c r="X94" s="29">
        <f t="shared" si="38"/>
        <v>561</v>
      </c>
      <c r="Y94" s="29">
        <f t="shared" si="39"/>
        <v>561</v>
      </c>
      <c r="Z94" s="29">
        <f t="shared" si="26"/>
        <v>561</v>
      </c>
      <c r="AA94" s="29"/>
      <c r="AB94" s="29"/>
      <c r="AC94" s="29"/>
      <c r="AD94" s="29"/>
      <c r="AE94" s="29"/>
      <c r="AF94" s="29"/>
      <c r="AG94" s="29"/>
      <c r="AH94" s="29"/>
      <c r="AI94" s="29"/>
      <c r="AJ94" s="29"/>
      <c r="AK94" s="29"/>
      <c r="AL94" s="29"/>
      <c r="AM94" s="29"/>
      <c r="AN94" s="29"/>
      <c r="AO94" s="29"/>
      <c r="AP94" s="29">
        <v>363</v>
      </c>
      <c r="AQ94" s="29"/>
      <c r="AR94" s="29"/>
      <c r="AS94" s="29"/>
      <c r="AT94" s="29"/>
      <c r="AU94" s="30"/>
      <c r="AV94" s="29"/>
      <c r="AW94" s="29"/>
      <c r="AX94" s="29"/>
      <c r="AY94" s="29"/>
      <c r="AZ94" s="29"/>
      <c r="BA94" s="29"/>
      <c r="BB94" s="29"/>
      <c r="BC94" s="29">
        <v>198</v>
      </c>
      <c r="BD94" s="29"/>
      <c r="BE94" s="29"/>
      <c r="BF94" s="29"/>
      <c r="BG94" s="29"/>
      <c r="BH94" s="29"/>
      <c r="BI94" s="29"/>
      <c r="BJ94" s="29"/>
      <c r="BK94" s="29"/>
      <c r="BL94" s="29"/>
      <c r="BM94" s="29"/>
      <c r="BN94" s="29"/>
      <c r="BO94" s="29"/>
      <c r="BP94" s="29"/>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f t="shared" si="30"/>
        <v>0</v>
      </c>
      <c r="CW94" s="29">
        <f t="shared" si="31"/>
        <v>0</v>
      </c>
      <c r="CX94" s="31">
        <f t="shared" si="32"/>
        <v>363.09999999999997</v>
      </c>
      <c r="CY94" s="31">
        <v>0</v>
      </c>
      <c r="CZ94" s="31">
        <f t="shared" si="40"/>
        <v>0</v>
      </c>
      <c r="DA94" s="88" t="s">
        <v>405</v>
      </c>
      <c r="DB94" s="29">
        <v>363</v>
      </c>
      <c r="DC94" s="89"/>
      <c r="DD94" s="26"/>
      <c r="DE94" s="26"/>
      <c r="DF94" s="26"/>
      <c r="DG94" s="33"/>
      <c r="DH94" s="39" t="s">
        <v>386</v>
      </c>
      <c r="DI94" s="1" t="s">
        <v>508</v>
      </c>
      <c r="DJ94" s="2" t="s">
        <v>511</v>
      </c>
      <c r="DK94" s="33">
        <f>280.4+82.7</f>
        <v>363.09999999999997</v>
      </c>
      <c r="DL94" s="71">
        <f t="shared" si="41"/>
        <v>1.0086111111111111</v>
      </c>
      <c r="DM94" s="68">
        <f t="shared" si="33"/>
        <v>27233000</v>
      </c>
      <c r="DN94" s="68">
        <f t="shared" si="34"/>
        <v>81698000</v>
      </c>
      <c r="DO94" s="35">
        <v>1</v>
      </c>
      <c r="DP94" s="33">
        <f t="shared" si="35"/>
        <v>64.723707664884131</v>
      </c>
      <c r="DQ94" s="35">
        <v>6</v>
      </c>
      <c r="DR94" s="69">
        <f t="shared" si="42"/>
        <v>3060000</v>
      </c>
      <c r="DS94" s="33">
        <v>82.699999999999989</v>
      </c>
      <c r="DT94" s="68">
        <f t="shared" si="43"/>
        <v>2481000</v>
      </c>
      <c r="DU94" s="36">
        <f>DK94</f>
        <v>363.09999999999997</v>
      </c>
      <c r="DV94" s="68">
        <f t="shared" si="44"/>
        <v>3631000</v>
      </c>
      <c r="DW94" s="69">
        <f t="shared" si="36"/>
        <v>118103000</v>
      </c>
      <c r="DX94" s="33">
        <f t="shared" si="37"/>
        <v>0</v>
      </c>
    </row>
    <row r="95" spans="1:128" s="38" customFormat="1" ht="36" customHeight="1">
      <c r="A95" s="26">
        <v>89</v>
      </c>
      <c r="B95" s="27" t="s">
        <v>387</v>
      </c>
      <c r="C95" s="89" t="s">
        <v>388</v>
      </c>
      <c r="D95" s="88" t="s">
        <v>442</v>
      </c>
      <c r="E95" s="87" t="s">
        <v>109</v>
      </c>
      <c r="F95" s="28" t="s">
        <v>104</v>
      </c>
      <c r="G95" s="26">
        <v>686</v>
      </c>
      <c r="H95" s="26">
        <v>49</v>
      </c>
      <c r="I95" s="29">
        <f>1+1595</f>
        <v>1596</v>
      </c>
      <c r="J95" s="88" t="s">
        <v>389</v>
      </c>
      <c r="K95" s="26">
        <v>5</v>
      </c>
      <c r="L95" s="26">
        <v>4</v>
      </c>
      <c r="M95" s="29">
        <f t="shared" si="28"/>
        <v>2750</v>
      </c>
      <c r="N95" s="29"/>
      <c r="O95" s="29"/>
      <c r="P95" s="29">
        <v>245</v>
      </c>
      <c r="Q95" s="29">
        <v>61</v>
      </c>
      <c r="R95" s="29">
        <f t="shared" si="46"/>
        <v>0</v>
      </c>
      <c r="S95" s="29"/>
      <c r="T95" s="29">
        <f t="shared" si="24"/>
        <v>459</v>
      </c>
      <c r="U95" s="29">
        <v>20</v>
      </c>
      <c r="V95" s="29">
        <v>439</v>
      </c>
      <c r="W95" s="29">
        <f t="shared" si="29"/>
        <v>2475</v>
      </c>
      <c r="X95" s="29">
        <f t="shared" si="38"/>
        <v>2669</v>
      </c>
      <c r="Y95" s="29">
        <f t="shared" si="39"/>
        <v>2669</v>
      </c>
      <c r="Z95" s="29">
        <f t="shared" si="26"/>
        <v>2914</v>
      </c>
      <c r="AA95" s="29"/>
      <c r="AB95" s="29"/>
      <c r="AC95" s="29"/>
      <c r="AD95" s="29"/>
      <c r="AE95" s="29"/>
      <c r="AF95" s="29"/>
      <c r="AG95" s="29"/>
      <c r="AH95" s="29"/>
      <c r="AI95" s="29"/>
      <c r="AJ95" s="29"/>
      <c r="AK95" s="29"/>
      <c r="AL95" s="29"/>
      <c r="AM95" s="29"/>
      <c r="AN95" s="29"/>
      <c r="AO95" s="29"/>
      <c r="AP95" s="29">
        <v>1595</v>
      </c>
      <c r="AQ95" s="29"/>
      <c r="AR95" s="29"/>
      <c r="AS95" s="29"/>
      <c r="AT95" s="29"/>
      <c r="AU95" s="30">
        <v>635</v>
      </c>
      <c r="AV95" s="29"/>
      <c r="AW95" s="29"/>
      <c r="AX95" s="29"/>
      <c r="AY95" s="29"/>
      <c r="AZ95" s="29"/>
      <c r="BA95" s="29">
        <v>439</v>
      </c>
      <c r="BB95" s="29"/>
      <c r="BC95" s="29"/>
      <c r="BD95" s="29"/>
      <c r="BE95" s="29"/>
      <c r="BF95" s="29"/>
      <c r="BG95" s="29"/>
      <c r="BH95" s="29"/>
      <c r="BI95" s="29"/>
      <c r="BJ95" s="29"/>
      <c r="BK95" s="29"/>
      <c r="BL95" s="29"/>
      <c r="BM95" s="29"/>
      <c r="BN95" s="29"/>
      <c r="BO95" s="29"/>
      <c r="BP95" s="29"/>
      <c r="BQ95" s="29"/>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f t="shared" si="30"/>
        <v>245</v>
      </c>
      <c r="CW95" s="29">
        <f t="shared" si="31"/>
        <v>0</v>
      </c>
      <c r="CX95" s="31">
        <f t="shared" si="32"/>
        <v>267</v>
      </c>
      <c r="CY95" s="31">
        <v>0</v>
      </c>
      <c r="CZ95" s="31">
        <f t="shared" si="40"/>
        <v>1329</v>
      </c>
      <c r="DA95" s="88" t="s">
        <v>405</v>
      </c>
      <c r="DB95" s="29">
        <v>1595</v>
      </c>
      <c r="DC95" s="89"/>
      <c r="DD95" s="26"/>
      <c r="DE95" s="26"/>
      <c r="DF95" s="26"/>
      <c r="DG95" s="33"/>
      <c r="DH95" s="45" t="s">
        <v>506</v>
      </c>
      <c r="DI95" s="1" t="s">
        <v>508</v>
      </c>
      <c r="DJ95" s="2" t="s">
        <v>511</v>
      </c>
      <c r="DK95" s="33">
        <v>267</v>
      </c>
      <c r="DL95" s="71">
        <f t="shared" si="41"/>
        <v>0.7416666666666667</v>
      </c>
      <c r="DM95" s="68">
        <f t="shared" si="33"/>
        <v>20025000</v>
      </c>
      <c r="DN95" s="68">
        <f t="shared" si="34"/>
        <v>60075000</v>
      </c>
      <c r="DO95" s="35">
        <v>4</v>
      </c>
      <c r="DP95" s="33">
        <f t="shared" si="35"/>
        <v>10.787878787878787</v>
      </c>
      <c r="DQ95" s="35">
        <v>3</v>
      </c>
      <c r="DR95" s="69">
        <f t="shared" si="42"/>
        <v>6120000</v>
      </c>
      <c r="DS95" s="33">
        <v>267</v>
      </c>
      <c r="DT95" s="68">
        <f t="shared" si="43"/>
        <v>8010000</v>
      </c>
      <c r="DU95" s="36">
        <v>267</v>
      </c>
      <c r="DV95" s="68">
        <f t="shared" si="44"/>
        <v>2670000</v>
      </c>
      <c r="DW95" s="69">
        <f t="shared" si="36"/>
        <v>96900000</v>
      </c>
      <c r="DX95" s="33">
        <f t="shared" si="37"/>
        <v>1329</v>
      </c>
    </row>
    <row r="96" spans="1:128" s="38" customFormat="1" ht="36.6" customHeight="1">
      <c r="A96" s="26">
        <v>90</v>
      </c>
      <c r="B96" s="27" t="s">
        <v>390</v>
      </c>
      <c r="C96" s="89" t="s">
        <v>391</v>
      </c>
      <c r="D96" s="89" t="s">
        <v>478</v>
      </c>
      <c r="E96" s="87" t="s">
        <v>109</v>
      </c>
      <c r="F96" s="28" t="s">
        <v>104</v>
      </c>
      <c r="G96" s="26">
        <v>687</v>
      </c>
      <c r="H96" s="26">
        <v>49</v>
      </c>
      <c r="I96" s="29">
        <f>3+651</f>
        <v>654</v>
      </c>
      <c r="J96" s="88" t="s">
        <v>392</v>
      </c>
      <c r="K96" s="26">
        <v>3</v>
      </c>
      <c r="L96" s="26">
        <v>4</v>
      </c>
      <c r="M96" s="29">
        <f t="shared" si="28"/>
        <v>1778</v>
      </c>
      <c r="N96" s="29"/>
      <c r="O96" s="29"/>
      <c r="P96" s="29">
        <f t="shared" si="25"/>
        <v>0</v>
      </c>
      <c r="Q96" s="29"/>
      <c r="R96" s="29">
        <f t="shared" si="46"/>
        <v>0</v>
      </c>
      <c r="S96" s="29"/>
      <c r="T96" s="29">
        <f t="shared" si="24"/>
        <v>975</v>
      </c>
      <c r="U96" s="29">
        <v>8</v>
      </c>
      <c r="V96" s="29">
        <f>386+581</f>
        <v>967</v>
      </c>
      <c r="W96" s="29">
        <f t="shared" si="29"/>
        <v>803</v>
      </c>
      <c r="X96" s="29">
        <f t="shared" si="38"/>
        <v>1770</v>
      </c>
      <c r="Y96" s="29">
        <f t="shared" si="39"/>
        <v>1770</v>
      </c>
      <c r="Z96" s="29">
        <f t="shared" si="26"/>
        <v>1770</v>
      </c>
      <c r="AA96" s="29"/>
      <c r="AB96" s="29"/>
      <c r="AC96" s="29"/>
      <c r="AD96" s="29"/>
      <c r="AE96" s="29"/>
      <c r="AF96" s="29"/>
      <c r="AG96" s="29"/>
      <c r="AH96" s="29"/>
      <c r="AI96" s="29"/>
      <c r="AJ96" s="29"/>
      <c r="AK96" s="29"/>
      <c r="AL96" s="29"/>
      <c r="AM96" s="29"/>
      <c r="AN96" s="29"/>
      <c r="AO96" s="29"/>
      <c r="AP96" s="29">
        <v>651</v>
      </c>
      <c r="AQ96" s="29"/>
      <c r="AR96" s="29"/>
      <c r="AS96" s="29"/>
      <c r="AT96" s="29"/>
      <c r="AU96" s="30"/>
      <c r="AV96" s="29"/>
      <c r="AW96" s="29"/>
      <c r="AX96" s="29"/>
      <c r="AY96" s="29"/>
      <c r="AZ96" s="29"/>
      <c r="BA96" s="29">
        <f>386+581</f>
        <v>967</v>
      </c>
      <c r="BB96" s="29"/>
      <c r="BC96" s="29">
        <f>152</f>
        <v>152</v>
      </c>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f t="shared" si="30"/>
        <v>0</v>
      </c>
      <c r="CW96" s="29">
        <f t="shared" si="31"/>
        <v>0</v>
      </c>
      <c r="CX96" s="31">
        <f t="shared" si="32"/>
        <v>65.599999999999994</v>
      </c>
      <c r="CY96" s="31">
        <v>0</v>
      </c>
      <c r="CZ96" s="31">
        <f t="shared" si="40"/>
        <v>588.4</v>
      </c>
      <c r="DA96" s="88" t="s">
        <v>405</v>
      </c>
      <c r="DB96" s="29">
        <v>651</v>
      </c>
      <c r="DC96" s="89" t="s">
        <v>391</v>
      </c>
      <c r="DD96" s="26" t="s">
        <v>393</v>
      </c>
      <c r="DE96" s="32" t="s">
        <v>159</v>
      </c>
      <c r="DF96" s="26">
        <v>4</v>
      </c>
      <c r="DG96" s="33">
        <f>654-3</f>
        <v>651</v>
      </c>
      <c r="DH96" s="39" t="s">
        <v>478</v>
      </c>
      <c r="DI96" s="1" t="s">
        <v>508</v>
      </c>
      <c r="DJ96" s="2" t="s">
        <v>511</v>
      </c>
      <c r="DK96" s="33">
        <v>65.599999999999994</v>
      </c>
      <c r="DL96" s="71">
        <f t="shared" si="41"/>
        <v>0.1822222222222222</v>
      </c>
      <c r="DM96" s="68">
        <f t="shared" si="33"/>
        <v>4920000</v>
      </c>
      <c r="DN96" s="68">
        <f t="shared" si="34"/>
        <v>14760000</v>
      </c>
      <c r="DO96" s="35">
        <v>4</v>
      </c>
      <c r="DP96" s="33">
        <f t="shared" si="35"/>
        <v>8.1693648816936477</v>
      </c>
      <c r="DQ96" s="35">
        <v>2</v>
      </c>
      <c r="DR96" s="69">
        <f t="shared" si="42"/>
        <v>4080000</v>
      </c>
      <c r="DS96" s="33">
        <v>65.599999999999994</v>
      </c>
      <c r="DT96" s="68">
        <f t="shared" si="43"/>
        <v>1968000</v>
      </c>
      <c r="DU96" s="36">
        <v>65.599999999999994</v>
      </c>
      <c r="DV96" s="68">
        <f t="shared" si="44"/>
        <v>656000</v>
      </c>
      <c r="DW96" s="69">
        <f t="shared" si="36"/>
        <v>26384000</v>
      </c>
      <c r="DX96" s="33">
        <f t="shared" si="37"/>
        <v>588.4</v>
      </c>
    </row>
    <row r="97" spans="1:128" s="38" customFormat="1" ht="36.6" customHeight="1">
      <c r="A97" s="26">
        <v>91</v>
      </c>
      <c r="B97" s="27" t="s">
        <v>394</v>
      </c>
      <c r="C97" s="89" t="s">
        <v>395</v>
      </c>
      <c r="D97" s="89" t="s">
        <v>479</v>
      </c>
      <c r="E97" s="87" t="s">
        <v>109</v>
      </c>
      <c r="F97" s="28" t="s">
        <v>104</v>
      </c>
      <c r="G97" s="26">
        <v>688</v>
      </c>
      <c r="H97" s="26">
        <v>49</v>
      </c>
      <c r="I97" s="29">
        <f>3.1+559</f>
        <v>562.1</v>
      </c>
      <c r="J97" s="88" t="s">
        <v>396</v>
      </c>
      <c r="K97" s="26">
        <v>6</v>
      </c>
      <c r="L97" s="26">
        <v>6</v>
      </c>
      <c r="M97" s="29">
        <f t="shared" si="28"/>
        <v>3396</v>
      </c>
      <c r="N97" s="29"/>
      <c r="O97" s="29"/>
      <c r="P97" s="29">
        <v>95</v>
      </c>
      <c r="Q97" s="29">
        <v>24</v>
      </c>
      <c r="R97" s="29">
        <f t="shared" si="46"/>
        <v>0</v>
      </c>
      <c r="S97" s="29"/>
      <c r="T97" s="29">
        <f t="shared" si="24"/>
        <v>37</v>
      </c>
      <c r="U97" s="29">
        <v>37</v>
      </c>
      <c r="V97" s="29"/>
      <c r="W97" s="29">
        <f t="shared" si="29"/>
        <v>3430</v>
      </c>
      <c r="X97" s="29">
        <f t="shared" si="38"/>
        <v>3335</v>
      </c>
      <c r="Y97" s="29">
        <f t="shared" si="39"/>
        <v>3335</v>
      </c>
      <c r="Z97" s="29">
        <f t="shared" si="26"/>
        <v>3430</v>
      </c>
      <c r="AA97" s="29"/>
      <c r="AB97" s="29"/>
      <c r="AC97" s="29"/>
      <c r="AD97" s="29"/>
      <c r="AE97" s="29"/>
      <c r="AF97" s="29"/>
      <c r="AG97" s="29"/>
      <c r="AH97" s="29"/>
      <c r="AI97" s="29"/>
      <c r="AJ97" s="29"/>
      <c r="AK97" s="29"/>
      <c r="AL97" s="29"/>
      <c r="AM97" s="29"/>
      <c r="AN97" s="29"/>
      <c r="AO97" s="29"/>
      <c r="AP97" s="29"/>
      <c r="AQ97" s="29">
        <v>1436</v>
      </c>
      <c r="AR97" s="29">
        <v>1438</v>
      </c>
      <c r="AS97" s="29"/>
      <c r="AT97" s="29"/>
      <c r="AU97" s="30">
        <v>461</v>
      </c>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f t="shared" si="30"/>
        <v>95</v>
      </c>
      <c r="CW97" s="29">
        <f t="shared" si="31"/>
        <v>0</v>
      </c>
      <c r="CX97" s="31">
        <f t="shared" si="32"/>
        <v>34.299999999999997</v>
      </c>
      <c r="CY97" s="31">
        <v>0</v>
      </c>
      <c r="CZ97" s="31">
        <f t="shared" si="40"/>
        <v>527.80000000000007</v>
      </c>
      <c r="DA97" s="88" t="s">
        <v>405</v>
      </c>
      <c r="DB97" s="29">
        <v>559</v>
      </c>
      <c r="DC97" s="89" t="s">
        <v>397</v>
      </c>
      <c r="DD97" s="26" t="s">
        <v>398</v>
      </c>
      <c r="DE97" s="32" t="s">
        <v>137</v>
      </c>
      <c r="DF97" s="26">
        <v>4</v>
      </c>
      <c r="DG97" s="33">
        <f>562.1-3.1</f>
        <v>559</v>
      </c>
      <c r="DH97" s="39" t="s">
        <v>479</v>
      </c>
      <c r="DI97" s="1" t="s">
        <v>508</v>
      </c>
      <c r="DJ97" s="2" t="s">
        <v>511</v>
      </c>
      <c r="DK97" s="33">
        <v>34.299999999999997</v>
      </c>
      <c r="DL97" s="71">
        <f t="shared" si="41"/>
        <v>9.5277777777777767E-2</v>
      </c>
      <c r="DM97" s="68">
        <f t="shared" si="33"/>
        <v>2573000</v>
      </c>
      <c r="DN97" s="68">
        <f t="shared" si="34"/>
        <v>7718000</v>
      </c>
      <c r="DO97" s="35">
        <v>6</v>
      </c>
      <c r="DP97" s="33">
        <f t="shared" si="35"/>
        <v>0.99999999999999989</v>
      </c>
      <c r="DQ97" s="35">
        <v>2</v>
      </c>
      <c r="DR97" s="69">
        <f t="shared" si="42"/>
        <v>6120000</v>
      </c>
      <c r="DS97" s="33">
        <v>34.299999999999997</v>
      </c>
      <c r="DT97" s="68">
        <f t="shared" si="43"/>
        <v>1029000</v>
      </c>
      <c r="DU97" s="36">
        <v>34.299999999999997</v>
      </c>
      <c r="DV97" s="68">
        <f t="shared" si="44"/>
        <v>343000</v>
      </c>
      <c r="DW97" s="69">
        <f t="shared" si="36"/>
        <v>17783000</v>
      </c>
      <c r="DX97" s="33">
        <f t="shared" si="37"/>
        <v>527.80000000000007</v>
      </c>
    </row>
    <row r="98" spans="1:128" s="38" customFormat="1" ht="56.25" customHeight="1">
      <c r="A98" s="26">
        <v>92</v>
      </c>
      <c r="B98" s="27" t="s">
        <v>399</v>
      </c>
      <c r="C98" s="89" t="s">
        <v>400</v>
      </c>
      <c r="D98" s="88" t="s">
        <v>443</v>
      </c>
      <c r="E98" s="87" t="s">
        <v>109</v>
      </c>
      <c r="F98" s="28" t="s">
        <v>104</v>
      </c>
      <c r="G98" s="26">
        <v>689</v>
      </c>
      <c r="H98" s="26">
        <v>49</v>
      </c>
      <c r="I98" s="29">
        <f>2.7+1186</f>
        <v>1188.7</v>
      </c>
      <c r="J98" s="88" t="s">
        <v>400</v>
      </c>
      <c r="K98" s="26">
        <v>3</v>
      </c>
      <c r="L98" s="26">
        <v>2</v>
      </c>
      <c r="M98" s="29">
        <f t="shared" si="28"/>
        <v>1618</v>
      </c>
      <c r="N98" s="29"/>
      <c r="O98" s="29"/>
      <c r="P98" s="29">
        <f t="shared" si="25"/>
        <v>0</v>
      </c>
      <c r="Q98" s="29"/>
      <c r="R98" s="29">
        <f t="shared" si="46"/>
        <v>0</v>
      </c>
      <c r="S98" s="29"/>
      <c r="T98" s="29">
        <f t="shared" si="24"/>
        <v>15</v>
      </c>
      <c r="U98" s="29">
        <v>15</v>
      </c>
      <c r="V98" s="29"/>
      <c r="W98" s="29">
        <f t="shared" si="29"/>
        <v>1603</v>
      </c>
      <c r="X98" s="29">
        <f t="shared" si="38"/>
        <v>1603</v>
      </c>
      <c r="Y98" s="29">
        <f t="shared" si="39"/>
        <v>1603</v>
      </c>
      <c r="Z98" s="29">
        <f t="shared" si="26"/>
        <v>1603</v>
      </c>
      <c r="AA98" s="29"/>
      <c r="AB98" s="29"/>
      <c r="AC98" s="29"/>
      <c r="AD98" s="29"/>
      <c r="AE98" s="29"/>
      <c r="AF98" s="29"/>
      <c r="AG98" s="29"/>
      <c r="AH98" s="29"/>
      <c r="AI98" s="29"/>
      <c r="AJ98" s="29"/>
      <c r="AK98" s="29"/>
      <c r="AL98" s="29"/>
      <c r="AM98" s="29"/>
      <c r="AN98" s="29"/>
      <c r="AO98" s="29"/>
      <c r="AP98" s="29">
        <v>1186</v>
      </c>
      <c r="AQ98" s="29"/>
      <c r="AR98" s="29"/>
      <c r="AS98" s="29"/>
      <c r="AT98" s="29"/>
      <c r="AU98" s="30">
        <v>417</v>
      </c>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f t="shared" si="30"/>
        <v>0</v>
      </c>
      <c r="CW98" s="29">
        <f t="shared" si="31"/>
        <v>0</v>
      </c>
      <c r="CX98" s="31">
        <f t="shared" si="32"/>
        <v>14.8</v>
      </c>
      <c r="CY98" s="31">
        <v>0</v>
      </c>
      <c r="CZ98" s="31">
        <f t="shared" si="40"/>
        <v>1173.9000000000001</v>
      </c>
      <c r="DA98" s="60"/>
      <c r="DB98" s="29">
        <v>1186</v>
      </c>
      <c r="DC98" s="89" t="s">
        <v>397</v>
      </c>
      <c r="DD98" s="26" t="s">
        <v>401</v>
      </c>
      <c r="DE98" s="32" t="s">
        <v>137</v>
      </c>
      <c r="DF98" s="26">
        <v>4</v>
      </c>
      <c r="DG98" s="33">
        <f>1188.7-2.7</f>
        <v>1186</v>
      </c>
      <c r="DH98" s="45" t="s">
        <v>507</v>
      </c>
      <c r="DI98" s="1" t="s">
        <v>508</v>
      </c>
      <c r="DJ98" s="2" t="s">
        <v>511</v>
      </c>
      <c r="DK98" s="33">
        <v>14.8</v>
      </c>
      <c r="DL98" s="71">
        <f t="shared" si="41"/>
        <v>4.1111111111111112E-2</v>
      </c>
      <c r="DM98" s="68">
        <f t="shared" si="33"/>
        <v>1110000</v>
      </c>
      <c r="DN98" s="68">
        <f t="shared" si="34"/>
        <v>3330000</v>
      </c>
      <c r="DO98" s="35">
        <v>4</v>
      </c>
      <c r="DP98" s="33">
        <f t="shared" si="35"/>
        <v>0.92326887086712428</v>
      </c>
      <c r="DQ98" s="35">
        <v>2</v>
      </c>
      <c r="DR98" s="69">
        <f t="shared" si="42"/>
        <v>4080000</v>
      </c>
      <c r="DS98" s="33">
        <v>14.8</v>
      </c>
      <c r="DT98" s="68">
        <f t="shared" si="43"/>
        <v>444000</v>
      </c>
      <c r="DU98" s="36">
        <v>14.8</v>
      </c>
      <c r="DV98" s="68">
        <f t="shared" si="44"/>
        <v>148000</v>
      </c>
      <c r="DW98" s="69">
        <f t="shared" si="36"/>
        <v>9112000</v>
      </c>
      <c r="DX98" s="33">
        <f t="shared" si="37"/>
        <v>1173.9000000000001</v>
      </c>
    </row>
    <row r="99" spans="1:128" s="83" customFormat="1" ht="29.25" customHeight="1">
      <c r="A99" s="72"/>
      <c r="B99" s="73"/>
      <c r="C99" s="59"/>
      <c r="D99" s="74"/>
      <c r="E99" s="75"/>
      <c r="F99" s="76"/>
      <c r="G99" s="72"/>
      <c r="H99" s="72"/>
      <c r="I99" s="77"/>
      <c r="J99" s="74"/>
      <c r="K99" s="72"/>
      <c r="L99" s="72"/>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95"/>
      <c r="AV99" s="77"/>
      <c r="AW99" s="77"/>
      <c r="AX99" s="77"/>
      <c r="AY99" s="77"/>
      <c r="AZ99" s="77"/>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c r="CU99" s="77"/>
      <c r="CV99" s="77"/>
      <c r="CW99" s="77"/>
      <c r="CX99" s="78"/>
      <c r="CY99" s="78"/>
      <c r="CZ99" s="78"/>
      <c r="DA99" s="79"/>
      <c r="DB99" s="77"/>
      <c r="DC99" s="59"/>
      <c r="DD99" s="72"/>
      <c r="DE99" s="80"/>
      <c r="DF99" s="72"/>
      <c r="DG99" s="81"/>
      <c r="DH99" s="132" t="s">
        <v>494</v>
      </c>
      <c r="DI99" s="120"/>
      <c r="DJ99" s="120"/>
      <c r="DK99" s="81">
        <f>SUM(DK7:DK98)</f>
        <v>84134.000000000015</v>
      </c>
      <c r="DL99" s="81"/>
      <c r="DM99" s="82">
        <f>SUM(DM7:DM98)</f>
        <v>6310063000</v>
      </c>
      <c r="DN99" s="82">
        <f>SUM(DN7:DN98)</f>
        <v>18930163000</v>
      </c>
      <c r="DO99" s="70">
        <f>SUM(DO7:DO98)</f>
        <v>299</v>
      </c>
      <c r="DP99" s="82"/>
      <c r="DQ99" s="82"/>
      <c r="DR99" s="82">
        <f t="shared" ref="DR99:DW99" si="47">SUM(DR7:DR98)</f>
        <v>1322430000</v>
      </c>
      <c r="DS99" s="82">
        <f t="shared" si="47"/>
        <v>82345.60000000002</v>
      </c>
      <c r="DT99" s="82">
        <f t="shared" si="47"/>
        <v>2470368000</v>
      </c>
      <c r="DU99" s="82">
        <f t="shared" si="47"/>
        <v>85362.900000000023</v>
      </c>
      <c r="DV99" s="82">
        <f t="shared" si="47"/>
        <v>841340000</v>
      </c>
      <c r="DW99" s="133">
        <f t="shared" si="47"/>
        <v>29874364000</v>
      </c>
      <c r="DX99" s="118"/>
    </row>
    <row r="100" spans="1:128" ht="32.25" customHeight="1">
      <c r="A100" s="121"/>
      <c r="C100" s="121"/>
      <c r="D100" s="121"/>
      <c r="E100" s="121"/>
      <c r="F100" s="121"/>
      <c r="G100" s="121"/>
      <c r="H100" s="121"/>
      <c r="I100" s="121"/>
      <c r="J100" s="122"/>
      <c r="K100" s="121"/>
      <c r="L100" s="121"/>
      <c r="M100" s="121"/>
      <c r="N100" s="121"/>
      <c r="O100" s="121"/>
      <c r="P100" s="121"/>
      <c r="Q100" s="121"/>
      <c r="R100" s="121"/>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c r="AU100" s="124"/>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23"/>
      <c r="CH100" s="123"/>
      <c r="CI100" s="123"/>
      <c r="CJ100" s="123"/>
      <c r="CK100" s="123"/>
      <c r="CL100" s="123"/>
      <c r="CM100" s="123"/>
      <c r="CN100" s="123"/>
      <c r="CO100" s="123"/>
      <c r="CP100" s="123"/>
      <c r="CQ100" s="123"/>
      <c r="CR100" s="123"/>
      <c r="CS100" s="123"/>
      <c r="CT100" s="123"/>
      <c r="CU100" s="123"/>
      <c r="CV100" s="123"/>
      <c r="CW100" s="123"/>
      <c r="CX100" s="125"/>
      <c r="CY100" s="125"/>
      <c r="CZ100" s="125"/>
      <c r="DA100" s="123"/>
      <c r="DB100" s="123"/>
      <c r="DC100" s="126"/>
      <c r="DD100" s="121"/>
      <c r="DE100" s="121"/>
      <c r="DF100" s="121"/>
      <c r="DG100" s="127"/>
      <c r="DH100" s="134" t="s">
        <v>542</v>
      </c>
      <c r="DI100" s="135"/>
      <c r="DJ100" s="135"/>
      <c r="DK100" s="135"/>
      <c r="DL100" s="135"/>
      <c r="DM100" s="135"/>
      <c r="DN100" s="135"/>
      <c r="DO100" s="135"/>
      <c r="DP100" s="135"/>
      <c r="DQ100" s="135"/>
      <c r="DR100" s="135"/>
      <c r="DS100" s="135"/>
      <c r="DT100" s="135"/>
      <c r="DU100" s="135"/>
      <c r="DV100" s="136"/>
      <c r="DW100" s="133">
        <v>598000000</v>
      </c>
    </row>
    <row r="101" spans="1:128" ht="29.25" customHeight="1">
      <c r="A101" s="121"/>
      <c r="C101" s="121"/>
      <c r="D101" s="121"/>
      <c r="E101" s="121"/>
      <c r="F101" s="121"/>
      <c r="G101" s="121"/>
      <c r="H101" s="121"/>
      <c r="I101" s="121"/>
      <c r="J101" s="122"/>
      <c r="K101" s="121"/>
      <c r="L101" s="121"/>
      <c r="M101" s="121"/>
      <c r="N101" s="121"/>
      <c r="O101" s="121"/>
      <c r="P101" s="121"/>
      <c r="Q101" s="121"/>
      <c r="R101" s="121"/>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c r="AU101" s="124"/>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c r="CS101" s="123"/>
      <c r="CT101" s="123"/>
      <c r="CU101" s="123"/>
      <c r="CV101" s="123"/>
      <c r="CW101" s="123"/>
      <c r="CX101" s="125"/>
      <c r="CY101" s="125"/>
      <c r="CZ101" s="125"/>
      <c r="DA101" s="123"/>
      <c r="DB101" s="123"/>
      <c r="DC101" s="126"/>
      <c r="DD101" s="121"/>
      <c r="DE101" s="121"/>
      <c r="DF101" s="121"/>
      <c r="DG101" s="127"/>
      <c r="DH101" s="128" t="s">
        <v>543</v>
      </c>
      <c r="DI101" s="129"/>
      <c r="DJ101" s="129"/>
      <c r="DK101" s="130"/>
      <c r="DL101" s="130"/>
      <c r="DM101" s="137">
        <f>DM99</f>
        <v>6310063000</v>
      </c>
      <c r="DN101" s="137">
        <f t="shared" ref="DN101:DV101" si="48">DN99</f>
        <v>18930163000</v>
      </c>
      <c r="DO101" s="137"/>
      <c r="DP101" s="137"/>
      <c r="DQ101" s="137"/>
      <c r="DR101" s="137">
        <f t="shared" si="48"/>
        <v>1322430000</v>
      </c>
      <c r="DS101" s="137"/>
      <c r="DT101" s="137">
        <f t="shared" si="48"/>
        <v>2470368000</v>
      </c>
      <c r="DU101" s="137">
        <f t="shared" si="48"/>
        <v>85362.900000000023</v>
      </c>
      <c r="DV101" s="137">
        <f t="shared" si="48"/>
        <v>841340000</v>
      </c>
      <c r="DW101" s="131">
        <f>DW99+DW100</f>
        <v>30472364000</v>
      </c>
    </row>
    <row r="102" spans="1:128">
      <c r="B102" s="119"/>
    </row>
    <row r="105" spans="1:128">
      <c r="DN105" s="138"/>
    </row>
    <row r="106" spans="1:128">
      <c r="DN106" s="138"/>
    </row>
  </sheetData>
  <mergeCells count="39">
    <mergeCell ref="DS5:DT5"/>
    <mergeCell ref="DV5:DV6"/>
    <mergeCell ref="DW5:DW6"/>
    <mergeCell ref="DX5:DX6"/>
    <mergeCell ref="DH100:DV100"/>
    <mergeCell ref="DH5:DH6"/>
    <mergeCell ref="DK5:DK6"/>
    <mergeCell ref="DL5:DL6"/>
    <mergeCell ref="DM5:DM6"/>
    <mergeCell ref="DN5:DN6"/>
    <mergeCell ref="DO5:DR5"/>
    <mergeCell ref="X5:X6"/>
    <mergeCell ref="Y5:Y6"/>
    <mergeCell ref="Z5:CW5"/>
    <mergeCell ref="DA5:DA6"/>
    <mergeCell ref="DB5:DB6"/>
    <mergeCell ref="DC5:DG5"/>
    <mergeCell ref="N5:N6"/>
    <mergeCell ref="O5:O6"/>
    <mergeCell ref="P5:Q5"/>
    <mergeCell ref="R5:S5"/>
    <mergeCell ref="T5:V6"/>
    <mergeCell ref="W5:W6"/>
    <mergeCell ref="H5:H6"/>
    <mergeCell ref="I5:I6"/>
    <mergeCell ref="J5:J6"/>
    <mergeCell ref="K5:K6"/>
    <mergeCell ref="L5:L6"/>
    <mergeCell ref="M5:M6"/>
    <mergeCell ref="A1:DW1"/>
    <mergeCell ref="A2:DW2"/>
    <mergeCell ref="A3:DW3"/>
    <mergeCell ref="DV4:DW4"/>
    <mergeCell ref="A5:A6"/>
    <mergeCell ref="B5:B6"/>
    <mergeCell ref="C5:C6"/>
    <mergeCell ref="D5:D6"/>
    <mergeCell ref="F5:F6"/>
    <mergeCell ref="G5:G6"/>
  </mergeCells>
  <conditionalFormatting sqref="F39:H83">
    <cfRule type="expression" dxfId="1" priority="1">
      <formula>"New Rule =or(cell(""row"")=row();cell(""col"")=column())"</formula>
    </cfRule>
    <cfRule type="expression" dxfId="0" priority="2">
      <formula>OR(CELL("row")=ROW(),CELL("col")=COLUMN())</formula>
    </cfRule>
  </conditionalFormatting>
  <pageMargins left="0.24" right="0.19" top="0.23" bottom="0.24" header="0.2" footer="0.2"/>
  <pageSetup paperSize="9" scale="76" orientation="landscape" verticalDpi="0"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kèm theo QĐPDPABT</vt:lpstr>
      <vt:lpstr>kèm theo TTPDPABT (2)</vt:lpstr>
      <vt:lpstr>'kèm theo QĐPDPABT'!Print_Titles</vt:lpstr>
      <vt:lpstr>'kèm theo TTPDPABT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2026-10-01T10:21:44Z</cp:lastPrinted>
  <dcterms:created xsi:type="dcterms:W3CDTF">2026-04-18T00:12:53Z</dcterms:created>
  <dcterms:modified xsi:type="dcterms:W3CDTF">2026-10-01T10:51:56Z</dcterms:modified>
</cp:coreProperties>
</file>