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\"/>
    </mc:Choice>
  </mc:AlternateContent>
  <bookViews>
    <workbookView xWindow="0" yWindow="0" windowWidth="13515" windowHeight="11325" tabRatio="777" activeTab="3"/>
  </bookViews>
  <sheets>
    <sheet name="Ap gia chi tiet" sheetId="64" r:id="rId1"/>
    <sheet name="Ap gia tong-Trung tâm lập" sheetId="68" r:id="rId2"/>
    <sheet name="QĐ PD PA" sheetId="69" r:id="rId3"/>
    <sheet name="TT kèm theo QĐ" sheetId="70" r:id="rId4"/>
  </sheets>
  <definedNames>
    <definedName name="_xlnm._FilterDatabase" localSheetId="0" hidden="1">'Ap gia chi tiet'!$A$5:$XEY$546</definedName>
    <definedName name="_xlnm._FilterDatabase" localSheetId="1" hidden="1">'Ap gia tong-Trung tâm lập'!$A$6:$BF$21</definedName>
    <definedName name="_xlnm._FilterDatabase" localSheetId="2" hidden="1">'QĐ PD PA'!$A$6:$BF$21</definedName>
    <definedName name="_xlnm._FilterDatabase" localSheetId="3" hidden="1">'TT kèm theo QĐ'!$A$6:$AK$21</definedName>
    <definedName name="_xlnm.Print_Titles" localSheetId="0">'Ap gia chi tiet'!$5:$5</definedName>
    <definedName name="_xlnm.Print_Titles" localSheetId="1">'Ap gia tong-Trung tâm lập'!$6:$7</definedName>
    <definedName name="_xlnm.Print_Titles" localSheetId="2">'QĐ PD PA'!$6:$7</definedName>
    <definedName name="_xlnm.Print_Titles" localSheetId="3">'TT kèm theo QĐ'!$6:$7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21" i="70" l="1"/>
  <c r="AA21" i="70"/>
  <c r="Z21" i="70"/>
  <c r="Y21" i="70"/>
  <c r="X21" i="70"/>
  <c r="V21" i="70"/>
  <c r="U21" i="70"/>
  <c r="T21" i="70"/>
  <c r="S21" i="70"/>
  <c r="J21" i="70"/>
  <c r="G21" i="70"/>
  <c r="Q19" i="70"/>
  <c r="AG18" i="70"/>
  <c r="AF18" i="70"/>
  <c r="R18" i="70"/>
  <c r="Q18" i="70"/>
  <c r="Q17" i="70"/>
  <c r="AG16" i="70"/>
  <c r="R16" i="70"/>
  <c r="Q16" i="70"/>
  <c r="AH16" i="70" s="1"/>
  <c r="AG15" i="70"/>
  <c r="AF15" i="70"/>
  <c r="R15" i="70"/>
  <c r="Q15" i="70"/>
  <c r="O14" i="70"/>
  <c r="Q14" i="70" s="1"/>
  <c r="AH14" i="70" s="1"/>
  <c r="AG13" i="70"/>
  <c r="AF13" i="70"/>
  <c r="R13" i="70"/>
  <c r="Q13" i="70"/>
  <c r="AG12" i="70"/>
  <c r="W12" i="70"/>
  <c r="R12" i="70"/>
  <c r="Q12" i="70"/>
  <c r="AG11" i="70"/>
  <c r="AF11" i="70"/>
  <c r="R11" i="70"/>
  <c r="Q11" i="70"/>
  <c r="AG10" i="70"/>
  <c r="AF10" i="70"/>
  <c r="AF21" i="70" s="1"/>
  <c r="W10" i="70"/>
  <c r="W21" i="70" s="1"/>
  <c r="R10" i="70"/>
  <c r="Q10" i="70"/>
  <c r="AG9" i="70"/>
  <c r="AG21" i="70" s="1"/>
  <c r="Q9" i="70"/>
  <c r="AH9" i="70" s="1"/>
  <c r="P8" i="70"/>
  <c r="Q8" i="70" s="1"/>
  <c r="AB21" i="69"/>
  <c r="AA21" i="69"/>
  <c r="Z21" i="69"/>
  <c r="Y21" i="69"/>
  <c r="X21" i="69"/>
  <c r="W21" i="69"/>
  <c r="V21" i="69"/>
  <c r="U21" i="69"/>
  <c r="T21" i="69"/>
  <c r="S21" i="69"/>
  <c r="J21" i="69"/>
  <c r="G21" i="69"/>
  <c r="Q19" i="69"/>
  <c r="AL18" i="69"/>
  <c r="AH18" i="69"/>
  <c r="AG18" i="69"/>
  <c r="AF18" i="69"/>
  <c r="R18" i="69"/>
  <c r="Q18" i="69"/>
  <c r="Q17" i="69"/>
  <c r="AL16" i="69"/>
  <c r="AG16" i="69"/>
  <c r="R16" i="69"/>
  <c r="Q16" i="69"/>
  <c r="AH16" i="69" s="1"/>
  <c r="AL15" i="69"/>
  <c r="AH15" i="69"/>
  <c r="AG15" i="69"/>
  <c r="AF15" i="69"/>
  <c r="R15" i="69"/>
  <c r="Q15" i="69"/>
  <c r="O14" i="69"/>
  <c r="O21" i="69" s="1"/>
  <c r="AL13" i="69"/>
  <c r="AG13" i="69"/>
  <c r="AF13" i="69"/>
  <c r="R13" i="69"/>
  <c r="AH13" i="69" s="1"/>
  <c r="Q13" i="69"/>
  <c r="AG12" i="69"/>
  <c r="W12" i="69"/>
  <c r="R12" i="69"/>
  <c r="Q12" i="69"/>
  <c r="AL11" i="69"/>
  <c r="AK11" i="69"/>
  <c r="AG11" i="69"/>
  <c r="AF11" i="69"/>
  <c r="AF21" i="69" s="1"/>
  <c r="R11" i="69"/>
  <c r="Q11" i="69"/>
  <c r="AH11" i="69" s="1"/>
  <c r="AG10" i="69"/>
  <c r="AF10" i="69"/>
  <c r="W10" i="69"/>
  <c r="R10" i="69"/>
  <c r="R21" i="69" s="1"/>
  <c r="Q10" i="69"/>
  <c r="AG9" i="69"/>
  <c r="AG21" i="69" s="1"/>
  <c r="Q9" i="69"/>
  <c r="AH9" i="69" s="1"/>
  <c r="P8" i="69"/>
  <c r="Q8" i="69" s="1"/>
  <c r="AH15" i="70" l="1"/>
  <c r="AH18" i="70"/>
  <c r="R21" i="70"/>
  <c r="AH11" i="70"/>
  <c r="AH13" i="70"/>
  <c r="Q24" i="70"/>
  <c r="Q21" i="70"/>
  <c r="AH8" i="70"/>
  <c r="AH21" i="70" s="1"/>
  <c r="AH23" i="70" s="1"/>
  <c r="O21" i="70"/>
  <c r="AH8" i="69"/>
  <c r="Q14" i="69"/>
  <c r="AH14" i="69" s="1"/>
  <c r="AB21" i="68"/>
  <c r="AA21" i="68"/>
  <c r="Z21" i="68"/>
  <c r="Y21" i="68"/>
  <c r="X21" i="68"/>
  <c r="V21" i="68"/>
  <c r="U21" i="68"/>
  <c r="T21" i="68"/>
  <c r="S21" i="68"/>
  <c r="O21" i="68"/>
  <c r="J21" i="68"/>
  <c r="G21" i="68"/>
  <c r="Q19" i="68"/>
  <c r="AL18" i="68"/>
  <c r="AG18" i="68"/>
  <c r="AF18" i="68"/>
  <c r="R18" i="68"/>
  <c r="Q18" i="68"/>
  <c r="AH18" i="68" s="1"/>
  <c r="Q17" i="68"/>
  <c r="AL16" i="68"/>
  <c r="AG16" i="68"/>
  <c r="R16" i="68"/>
  <c r="Q16" i="68"/>
  <c r="AH16" i="68" s="1"/>
  <c r="AL15" i="68"/>
  <c r="AG15" i="68"/>
  <c r="AF15" i="68"/>
  <c r="R15" i="68"/>
  <c r="Q15" i="68"/>
  <c r="AH15" i="68" s="1"/>
  <c r="Q14" i="68"/>
  <c r="AH14" i="68" s="1"/>
  <c r="O14" i="68"/>
  <c r="AL13" i="68"/>
  <c r="AG13" i="68"/>
  <c r="AF13" i="68"/>
  <c r="R13" i="68"/>
  <c r="Q13" i="68"/>
  <c r="AH13" i="68" s="1"/>
  <c r="AG12" i="68"/>
  <c r="W12" i="68"/>
  <c r="R12" i="68"/>
  <c r="Q12" i="68"/>
  <c r="AL11" i="68"/>
  <c r="AK11" i="68"/>
  <c r="AG11" i="68"/>
  <c r="AF11" i="68"/>
  <c r="R11" i="68"/>
  <c r="Q11" i="68"/>
  <c r="AH11" i="68" s="1"/>
  <c r="AG10" i="68"/>
  <c r="AF10" i="68"/>
  <c r="AF21" i="68" s="1"/>
  <c r="W10" i="68"/>
  <c r="W21" i="68" s="1"/>
  <c r="R10" i="68"/>
  <c r="R21" i="68" s="1"/>
  <c r="Q10" i="68"/>
  <c r="AG9" i="68"/>
  <c r="AG21" i="68" s="1"/>
  <c r="Q9" i="68"/>
  <c r="AH9" i="68" s="1"/>
  <c r="P8" i="68"/>
  <c r="Q21" i="69" l="1"/>
  <c r="AH21" i="69"/>
  <c r="Q24" i="69"/>
  <c r="Q8" i="68"/>
  <c r="AH23" i="69" l="1"/>
  <c r="Q24" i="68"/>
  <c r="Q21" i="68"/>
  <c r="AH8" i="68"/>
  <c r="AH21" i="68" s="1"/>
  <c r="AH22" i="68" l="1"/>
  <c r="AH23" i="68" s="1"/>
  <c r="I7" i="64" l="1"/>
  <c r="I9" i="64"/>
  <c r="I10" i="64"/>
  <c r="I11" i="64"/>
  <c r="I12" i="64"/>
  <c r="I13" i="64"/>
  <c r="I14" i="64"/>
  <c r="I15" i="64"/>
  <c r="I16" i="64"/>
  <c r="I17" i="64"/>
  <c r="I18" i="64"/>
  <c r="I19" i="64"/>
  <c r="I20" i="64"/>
  <c r="I21" i="64"/>
  <c r="I22" i="64"/>
  <c r="I24" i="64"/>
  <c r="I28" i="64"/>
  <c r="I33" i="64"/>
  <c r="I40" i="64"/>
  <c r="I42" i="64"/>
  <c r="I51" i="64"/>
  <c r="I55" i="64"/>
  <c r="I60" i="64"/>
  <c r="I64" i="64"/>
  <c r="I69" i="64"/>
  <c r="I73" i="64"/>
  <c r="I74" i="64"/>
  <c r="I75" i="64"/>
  <c r="I76" i="64"/>
  <c r="I77" i="64"/>
  <c r="I78" i="64"/>
  <c r="I79" i="64"/>
  <c r="I83" i="64"/>
  <c r="I88" i="64"/>
  <c r="I90" i="64"/>
  <c r="I95" i="64"/>
  <c r="I100" i="64"/>
  <c r="I101" i="64"/>
  <c r="I102" i="64"/>
  <c r="I107" i="64"/>
  <c r="I114" i="64"/>
  <c r="I118" i="64"/>
  <c r="I124" i="64"/>
  <c r="I135" i="64"/>
  <c r="I137" i="64"/>
  <c r="I142" i="64"/>
  <c r="I153" i="64"/>
  <c r="I156" i="64"/>
  <c r="I158" i="64"/>
  <c r="I159" i="64"/>
  <c r="I161" i="64"/>
  <c r="I162" i="64"/>
  <c r="I163" i="64"/>
  <c r="I164" i="64"/>
  <c r="I165" i="64"/>
  <c r="I169" i="64"/>
  <c r="I170" i="64"/>
  <c r="I171" i="64"/>
  <c r="I172" i="64"/>
  <c r="I173" i="64"/>
  <c r="I180" i="64"/>
  <c r="I187" i="64"/>
  <c r="I194" i="64"/>
  <c r="I198" i="64"/>
  <c r="I203" i="64"/>
  <c r="I209" i="64"/>
  <c r="I216" i="64"/>
  <c r="I222" i="64"/>
  <c r="I227" i="64"/>
  <c r="I228" i="64"/>
  <c r="I229" i="64"/>
  <c r="I230" i="64"/>
  <c r="I231" i="64"/>
  <c r="I232" i="64"/>
  <c r="I237" i="64"/>
  <c r="I239" i="64"/>
  <c r="I240" i="64"/>
  <c r="I247" i="64"/>
  <c r="I254" i="64"/>
  <c r="I262" i="64"/>
  <c r="I267" i="64"/>
  <c r="I275" i="64"/>
  <c r="I276" i="64"/>
  <c r="I277" i="64"/>
  <c r="I280" i="64"/>
  <c r="I281" i="64"/>
  <c r="I282" i="64"/>
  <c r="I283" i="64"/>
  <c r="I284" i="64"/>
  <c r="I285" i="64"/>
  <c r="I287" i="64"/>
  <c r="I288" i="64"/>
  <c r="I289" i="64"/>
  <c r="I296" i="64"/>
  <c r="I299" i="64"/>
  <c r="I300" i="64"/>
  <c r="I301" i="64"/>
  <c r="I303" i="64"/>
  <c r="I304" i="64"/>
  <c r="I305" i="64"/>
  <c r="I306" i="64"/>
  <c r="I307" i="64"/>
  <c r="I308" i="64"/>
  <c r="I309" i="64"/>
  <c r="I310" i="64"/>
  <c r="I311" i="64"/>
  <c r="I312" i="64"/>
  <c r="I313" i="64"/>
  <c r="I314" i="64"/>
  <c r="I316" i="64"/>
  <c r="I317" i="64"/>
  <c r="I321" i="64"/>
  <c r="I329" i="64"/>
  <c r="I337" i="64"/>
  <c r="I347" i="64"/>
  <c r="I353" i="64"/>
  <c r="I358" i="64"/>
  <c r="I366" i="64"/>
  <c r="I372" i="64"/>
  <c r="I373" i="64"/>
  <c r="I376" i="64"/>
  <c r="I377" i="64"/>
  <c r="I381" i="64"/>
  <c r="I382" i="64"/>
  <c r="I384" i="64"/>
  <c r="I392" i="64"/>
  <c r="I393" i="64"/>
  <c r="I394" i="64"/>
  <c r="I395" i="64"/>
  <c r="I398" i="64"/>
  <c r="I399" i="64"/>
  <c r="I404" i="64"/>
  <c r="I405" i="64"/>
  <c r="I406" i="64"/>
  <c r="I407" i="64"/>
  <c r="I408" i="64"/>
  <c r="I410" i="64"/>
  <c r="I411" i="64"/>
  <c r="I412" i="64"/>
  <c r="I413" i="64"/>
  <c r="I414" i="64"/>
  <c r="I415" i="64"/>
  <c r="I416" i="64"/>
  <c r="I417" i="64"/>
  <c r="I419" i="64"/>
  <c r="I425" i="64"/>
  <c r="I431" i="64"/>
  <c r="I436" i="64"/>
  <c r="I441" i="64"/>
  <c r="I447" i="64"/>
  <c r="I448" i="64"/>
  <c r="I449" i="64"/>
  <c r="I450" i="64"/>
  <c r="I451" i="64"/>
  <c r="I454" i="64"/>
  <c r="I455" i="64"/>
  <c r="I456" i="64"/>
  <c r="I457" i="64"/>
  <c r="I458" i="64"/>
  <c r="I459" i="64"/>
  <c r="I460" i="64"/>
  <c r="I461" i="64"/>
  <c r="I462" i="64"/>
  <c r="I463" i="64"/>
  <c r="I464" i="64"/>
  <c r="I465" i="64"/>
  <c r="I466" i="64"/>
  <c r="I467" i="64"/>
  <c r="I469" i="64"/>
  <c r="I476" i="64"/>
  <c r="I481" i="64"/>
  <c r="I489" i="64"/>
  <c r="I494" i="64"/>
  <c r="I502" i="64"/>
  <c r="I508" i="64"/>
  <c r="I514" i="64"/>
  <c r="I515" i="64"/>
  <c r="I516" i="64"/>
  <c r="I517" i="64"/>
  <c r="R517" i="64"/>
  <c r="R518" i="64" s="1"/>
  <c r="H530" i="64" s="1"/>
  <c r="H517" i="64"/>
  <c r="H516" i="64" l="1"/>
  <c r="F8" i="64" l="1"/>
  <c r="I8" i="64" s="1"/>
  <c r="F453" i="64"/>
  <c r="F397" i="64"/>
  <c r="F235" i="64"/>
  <c r="F167" i="64"/>
  <c r="H161" i="64"/>
  <c r="F160" i="64"/>
  <c r="I160" i="64" s="1"/>
  <c r="H159" i="64"/>
  <c r="H528" i="64" s="1"/>
  <c r="H158" i="64"/>
  <c r="E157" i="64"/>
  <c r="I157" i="64" s="1"/>
  <c r="E155" i="64"/>
  <c r="I155" i="64" s="1"/>
  <c r="E154" i="64"/>
  <c r="I154" i="64" s="1"/>
  <c r="F151" i="64"/>
  <c r="I151" i="64" s="1"/>
  <c r="E150" i="64"/>
  <c r="I150" i="64" s="1"/>
  <c r="E149" i="64"/>
  <c r="I149" i="64" s="1"/>
  <c r="E148" i="64"/>
  <c r="I148" i="64" s="1"/>
  <c r="E147" i="64"/>
  <c r="I147" i="64" s="1"/>
  <c r="E146" i="64"/>
  <c r="E145" i="64"/>
  <c r="I145" i="64" s="1"/>
  <c r="E144" i="64"/>
  <c r="I144" i="64" s="1"/>
  <c r="E143" i="64"/>
  <c r="I143" i="64" s="1"/>
  <c r="E141" i="64"/>
  <c r="I141" i="64" s="1"/>
  <c r="E140" i="64"/>
  <c r="I140" i="64" s="1"/>
  <c r="E138" i="64"/>
  <c r="I138" i="64" s="1"/>
  <c r="E136" i="64"/>
  <c r="I136" i="64" s="1"/>
  <c r="E134" i="64"/>
  <c r="E133" i="64"/>
  <c r="E132" i="64"/>
  <c r="E131" i="64"/>
  <c r="I131" i="64" s="1"/>
  <c r="E130" i="64"/>
  <c r="I130" i="64" s="1"/>
  <c r="E129" i="64"/>
  <c r="E128" i="64"/>
  <c r="I128" i="64" s="1"/>
  <c r="E127" i="64"/>
  <c r="I127" i="64" s="1"/>
  <c r="E125" i="64"/>
  <c r="E123" i="64"/>
  <c r="E122" i="64"/>
  <c r="I122" i="64" s="1"/>
  <c r="E121" i="64"/>
  <c r="I121" i="64" s="1"/>
  <c r="E120" i="64"/>
  <c r="E119" i="64"/>
  <c r="E117" i="64"/>
  <c r="I117" i="64" s="1"/>
  <c r="E116" i="64"/>
  <c r="I116" i="64" s="1"/>
  <c r="E115" i="64"/>
  <c r="E112" i="64"/>
  <c r="I112" i="64" s="1"/>
  <c r="E111" i="64"/>
  <c r="I111" i="64" s="1"/>
  <c r="E110" i="64"/>
  <c r="I110" i="64" s="1"/>
  <c r="E109" i="64"/>
  <c r="E108" i="64"/>
  <c r="I108" i="64" s="1"/>
  <c r="E106" i="64"/>
  <c r="E105" i="64"/>
  <c r="I105" i="64" s="1"/>
  <c r="E104" i="64"/>
  <c r="I104" i="64" s="1"/>
  <c r="E103" i="64"/>
  <c r="H100" i="64"/>
  <c r="E99" i="64"/>
  <c r="I99" i="64" s="1"/>
  <c r="E98" i="64"/>
  <c r="I98" i="64" s="1"/>
  <c r="E97" i="64"/>
  <c r="I97" i="64" s="1"/>
  <c r="E96" i="64"/>
  <c r="E94" i="64"/>
  <c r="I94" i="64" s="1"/>
  <c r="E93" i="64"/>
  <c r="E92" i="64"/>
  <c r="I92" i="64" s="1"/>
  <c r="E91" i="64"/>
  <c r="I91" i="64" s="1"/>
  <c r="H90" i="64"/>
  <c r="E89" i="64"/>
  <c r="I89" i="64" s="1"/>
  <c r="E87" i="64"/>
  <c r="I87" i="64" s="1"/>
  <c r="E86" i="64"/>
  <c r="I86" i="64" s="1"/>
  <c r="E85" i="64"/>
  <c r="I85" i="64" s="1"/>
  <c r="E84" i="64"/>
  <c r="I84" i="64" s="1"/>
  <c r="E82" i="64"/>
  <c r="I82" i="64" s="1"/>
  <c r="E81" i="64"/>
  <c r="I81" i="64" s="1"/>
  <c r="F80" i="64"/>
  <c r="I80" i="64" s="1"/>
  <c r="H79" i="64"/>
  <c r="H78" i="64"/>
  <c r="H77" i="64"/>
  <c r="H76" i="64"/>
  <c r="H75" i="64"/>
  <c r="H74" i="64"/>
  <c r="H73" i="64"/>
  <c r="E72" i="64"/>
  <c r="I72" i="64" s="1"/>
  <c r="E71" i="64"/>
  <c r="I71" i="64" s="1"/>
  <c r="E70" i="64"/>
  <c r="F68" i="64"/>
  <c r="I68" i="64" s="1"/>
  <c r="E67" i="64"/>
  <c r="E66" i="64"/>
  <c r="I66" i="64" s="1"/>
  <c r="E65" i="64"/>
  <c r="I65" i="64" s="1"/>
  <c r="H64" i="64"/>
  <c r="E63" i="64"/>
  <c r="I63" i="64" s="1"/>
  <c r="E62" i="64"/>
  <c r="I62" i="64" s="1"/>
  <c r="E61" i="64"/>
  <c r="I61" i="64" s="1"/>
  <c r="F59" i="64"/>
  <c r="I59" i="64" s="1"/>
  <c r="E58" i="64"/>
  <c r="E57" i="64"/>
  <c r="I57" i="64" s="1"/>
  <c r="E56" i="64"/>
  <c r="I56" i="64" s="1"/>
  <c r="H55" i="64"/>
  <c r="E54" i="64"/>
  <c r="I54" i="64" s="1"/>
  <c r="E53" i="64"/>
  <c r="I53" i="64" s="1"/>
  <c r="E52" i="64"/>
  <c r="I52" i="64" s="1"/>
  <c r="E50" i="64"/>
  <c r="I50" i="64" s="1"/>
  <c r="E49" i="64"/>
  <c r="E48" i="64"/>
  <c r="I48" i="64" s="1"/>
  <c r="E47" i="64"/>
  <c r="I47" i="64" s="1"/>
  <c r="E46" i="64"/>
  <c r="I46" i="64" s="1"/>
  <c r="E45" i="64"/>
  <c r="I45" i="64" s="1"/>
  <c r="E44" i="64"/>
  <c r="I44" i="64" s="1"/>
  <c r="E43" i="64"/>
  <c r="I43" i="64" s="1"/>
  <c r="E41" i="64"/>
  <c r="I41" i="64" s="1"/>
  <c r="E39" i="64"/>
  <c r="I39" i="64" s="1"/>
  <c r="E38" i="64"/>
  <c r="E37" i="64"/>
  <c r="E36" i="64"/>
  <c r="I36" i="64" s="1"/>
  <c r="E35" i="64"/>
  <c r="I35" i="64" s="1"/>
  <c r="E34" i="64"/>
  <c r="I34" i="64" s="1"/>
  <c r="H33" i="64"/>
  <c r="E32" i="64"/>
  <c r="I32" i="64" s="1"/>
  <c r="E31" i="64"/>
  <c r="E30" i="64"/>
  <c r="I30" i="64" s="1"/>
  <c r="H28" i="64"/>
  <c r="E27" i="64"/>
  <c r="I27" i="64" s="1"/>
  <c r="E26" i="64"/>
  <c r="I26" i="64" s="1"/>
  <c r="E25" i="64"/>
  <c r="E23" i="64"/>
  <c r="I23" i="64" s="1"/>
  <c r="H20" i="64"/>
  <c r="H19" i="64"/>
  <c r="H18" i="64"/>
  <c r="H16" i="64"/>
  <c r="H15" i="64"/>
  <c r="H14" i="64"/>
  <c r="H13" i="64"/>
  <c r="H12" i="64"/>
  <c r="H11" i="64"/>
  <c r="I6" i="64"/>
  <c r="H515" i="64"/>
  <c r="S515" i="64" s="1"/>
  <c r="H514" i="64"/>
  <c r="S514" i="64" s="1"/>
  <c r="E513" i="64"/>
  <c r="I513" i="64" s="1"/>
  <c r="E512" i="64"/>
  <c r="E511" i="64"/>
  <c r="I511" i="64" s="1"/>
  <c r="E509" i="64"/>
  <c r="E507" i="64"/>
  <c r="I507" i="64" s="1"/>
  <c r="E506" i="64"/>
  <c r="I506" i="64" s="1"/>
  <c r="E505" i="64"/>
  <c r="I505" i="64" s="1"/>
  <c r="E503" i="64"/>
  <c r="E501" i="64"/>
  <c r="I501" i="64" s="1"/>
  <c r="E500" i="64"/>
  <c r="E499" i="64"/>
  <c r="E498" i="64"/>
  <c r="E497" i="64"/>
  <c r="I497" i="64" s="1"/>
  <c r="E495" i="64"/>
  <c r="E493" i="64"/>
  <c r="I493" i="64" s="1"/>
  <c r="E492" i="64"/>
  <c r="I492" i="64" s="1"/>
  <c r="E490" i="64"/>
  <c r="E488" i="64"/>
  <c r="I488" i="64" s="1"/>
  <c r="E487" i="64"/>
  <c r="I487" i="64" s="1"/>
  <c r="E486" i="64"/>
  <c r="E485" i="64"/>
  <c r="I485" i="64" s="1"/>
  <c r="E484" i="64"/>
  <c r="I484" i="64" s="1"/>
  <c r="E482" i="64"/>
  <c r="I482" i="64" s="1"/>
  <c r="E480" i="64"/>
  <c r="I480" i="64" s="1"/>
  <c r="E479" i="64"/>
  <c r="I479" i="64" s="1"/>
  <c r="E478" i="64"/>
  <c r="E477" i="64"/>
  <c r="I477" i="64" s="1"/>
  <c r="H476" i="64"/>
  <c r="E474" i="64"/>
  <c r="E473" i="64"/>
  <c r="I473" i="64" s="1"/>
  <c r="E472" i="64"/>
  <c r="E470" i="64"/>
  <c r="H469" i="64"/>
  <c r="E468" i="64"/>
  <c r="I468" i="64" s="1"/>
  <c r="H465" i="64"/>
  <c r="H464" i="64"/>
  <c r="H463" i="64"/>
  <c r="H462" i="64"/>
  <c r="H461" i="64"/>
  <c r="H460" i="64"/>
  <c r="H459" i="64"/>
  <c r="H458" i="64"/>
  <c r="H457" i="64"/>
  <c r="H456" i="64"/>
  <c r="H454" i="64"/>
  <c r="F452" i="64"/>
  <c r="I452" i="64" s="1"/>
  <c r="E452" i="64"/>
  <c r="H451" i="64"/>
  <c r="H448" i="64"/>
  <c r="H447" i="64"/>
  <c r="E446" i="64"/>
  <c r="I446" i="64" s="1"/>
  <c r="E445" i="64"/>
  <c r="I445" i="64" s="1"/>
  <c r="E444" i="64"/>
  <c r="I444" i="64" s="1"/>
  <c r="E442" i="64"/>
  <c r="E440" i="64"/>
  <c r="E439" i="64"/>
  <c r="I439" i="64" s="1"/>
  <c r="E437" i="64"/>
  <c r="I437" i="64" s="1"/>
  <c r="E435" i="64"/>
  <c r="I435" i="64" s="1"/>
  <c r="E434" i="64"/>
  <c r="I434" i="64" s="1"/>
  <c r="E432" i="64"/>
  <c r="I432" i="64" s="1"/>
  <c r="E430" i="64"/>
  <c r="I430" i="64" s="1"/>
  <c r="E429" i="64"/>
  <c r="E428" i="64"/>
  <c r="I428" i="64" s="1"/>
  <c r="E426" i="64"/>
  <c r="E424" i="64"/>
  <c r="I424" i="64" s="1"/>
  <c r="E423" i="64"/>
  <c r="E422" i="64"/>
  <c r="I422" i="64" s="1"/>
  <c r="E420" i="64"/>
  <c r="I420" i="64" s="1"/>
  <c r="H419" i="64"/>
  <c r="E418" i="64"/>
  <c r="I418" i="64" s="1"/>
  <c r="H415" i="64"/>
  <c r="H414" i="64"/>
  <c r="H413" i="64"/>
  <c r="H412" i="64"/>
  <c r="H411" i="64"/>
  <c r="F409" i="64"/>
  <c r="E409" i="64"/>
  <c r="H408" i="64"/>
  <c r="H407" i="64"/>
  <c r="H404" i="64"/>
  <c r="E403" i="64"/>
  <c r="I403" i="64" s="1"/>
  <c r="E402" i="64"/>
  <c r="E400" i="64"/>
  <c r="I400" i="64" s="1"/>
  <c r="F396" i="64"/>
  <c r="E396" i="64"/>
  <c r="H395" i="64"/>
  <c r="K395" i="64" s="1"/>
  <c r="H392" i="64"/>
  <c r="E391" i="64"/>
  <c r="I391" i="64" s="1"/>
  <c r="E390" i="64"/>
  <c r="I390" i="64" s="1"/>
  <c r="E389" i="64"/>
  <c r="I389" i="64" s="1"/>
  <c r="E388" i="64"/>
  <c r="I388" i="64" s="1"/>
  <c r="E387" i="64"/>
  <c r="I387" i="64" s="1"/>
  <c r="E385" i="64"/>
  <c r="E383" i="64"/>
  <c r="I383" i="64" s="1"/>
  <c r="H382" i="64"/>
  <c r="H381" i="64"/>
  <c r="E380" i="64"/>
  <c r="I380" i="64" s="1"/>
  <c r="E379" i="64"/>
  <c r="I379" i="64" s="1"/>
  <c r="E378" i="64"/>
  <c r="I378" i="64" s="1"/>
  <c r="H376" i="64"/>
  <c r="E375" i="64"/>
  <c r="I375" i="64" s="1"/>
  <c r="E374" i="64"/>
  <c r="I374" i="64" s="1"/>
  <c r="H372" i="64"/>
  <c r="E371" i="64"/>
  <c r="I371" i="64" s="1"/>
  <c r="E370" i="64"/>
  <c r="I370" i="64" s="1"/>
  <c r="E369" i="64"/>
  <c r="I369" i="64" s="1"/>
  <c r="E367" i="64"/>
  <c r="E365" i="64"/>
  <c r="I365" i="64" s="1"/>
  <c r="E364" i="64"/>
  <c r="I364" i="64" s="1"/>
  <c r="E363" i="64"/>
  <c r="I363" i="64" s="1"/>
  <c r="E362" i="64"/>
  <c r="I362" i="64" s="1"/>
  <c r="E361" i="64"/>
  <c r="I361" i="64" s="1"/>
  <c r="E359" i="64"/>
  <c r="E357" i="64"/>
  <c r="I357" i="64" s="1"/>
  <c r="E356" i="64"/>
  <c r="I356" i="64" s="1"/>
  <c r="E354" i="64"/>
  <c r="E352" i="64"/>
  <c r="I352" i="64" s="1"/>
  <c r="E351" i="64"/>
  <c r="E350" i="64"/>
  <c r="I350" i="64" s="1"/>
  <c r="E348" i="64"/>
  <c r="I348" i="64" s="1"/>
  <c r="E346" i="64"/>
  <c r="E345" i="64"/>
  <c r="I345" i="64" s="1"/>
  <c r="E344" i="64"/>
  <c r="E342" i="64"/>
  <c r="I342" i="64" s="1"/>
  <c r="E341" i="64"/>
  <c r="I341" i="64" s="1"/>
  <c r="E340" i="64"/>
  <c r="I340" i="64" s="1"/>
  <c r="E338" i="64"/>
  <c r="E336" i="64"/>
  <c r="E335" i="64"/>
  <c r="I335" i="64" s="1"/>
  <c r="E334" i="64"/>
  <c r="I334" i="64" s="1"/>
  <c r="E333" i="64"/>
  <c r="E332" i="64"/>
  <c r="I332" i="64" s="1"/>
  <c r="E331" i="64"/>
  <c r="I331" i="64" s="1"/>
  <c r="E330" i="64"/>
  <c r="I330" i="64" s="1"/>
  <c r="H329" i="64"/>
  <c r="E328" i="64"/>
  <c r="I328" i="64" s="1"/>
  <c r="E326" i="64"/>
  <c r="E325" i="64"/>
  <c r="I325" i="64" s="1"/>
  <c r="E324" i="64"/>
  <c r="E322" i="64"/>
  <c r="H321" i="64"/>
  <c r="E320" i="64"/>
  <c r="I320" i="64" s="1"/>
  <c r="E319" i="64"/>
  <c r="E318" i="64"/>
  <c r="I318" i="64" s="1"/>
  <c r="H317" i="64"/>
  <c r="H316" i="64"/>
  <c r="E315" i="64"/>
  <c r="I315" i="64" s="1"/>
  <c r="H312" i="64"/>
  <c r="H311" i="64"/>
  <c r="H310" i="64"/>
  <c r="H309" i="64"/>
  <c r="H308" i="64"/>
  <c r="H307" i="64"/>
  <c r="H306" i="64"/>
  <c r="H305" i="64"/>
  <c r="H304" i="64"/>
  <c r="E302" i="64"/>
  <c r="I302" i="64" s="1"/>
  <c r="H299" i="64"/>
  <c r="E298" i="64"/>
  <c r="I298" i="64" s="1"/>
  <c r="E297" i="64"/>
  <c r="I297" i="64" s="1"/>
  <c r="E295" i="64"/>
  <c r="I295" i="64" s="1"/>
  <c r="E294" i="64"/>
  <c r="I294" i="64" s="1"/>
  <c r="E293" i="64"/>
  <c r="I293" i="64" s="1"/>
  <c r="E292" i="64"/>
  <c r="E290" i="64"/>
  <c r="H287" i="64"/>
  <c r="E286" i="64"/>
  <c r="H285" i="64"/>
  <c r="H284" i="64"/>
  <c r="H283" i="64"/>
  <c r="H282" i="64"/>
  <c r="H281" i="64"/>
  <c r="F279" i="64"/>
  <c r="F278" i="64"/>
  <c r="H277" i="64"/>
  <c r="K276" i="64" s="1"/>
  <c r="E274" i="64"/>
  <c r="E273" i="64"/>
  <c r="E272" i="64"/>
  <c r="E271" i="64"/>
  <c r="I271" i="64" s="1"/>
  <c r="E270" i="64"/>
  <c r="I270" i="64" s="1"/>
  <c r="E268" i="64"/>
  <c r="E266" i="64"/>
  <c r="I266" i="64" s="1"/>
  <c r="E265" i="64"/>
  <c r="I265" i="64" s="1"/>
  <c r="E263" i="64"/>
  <c r="E260" i="64"/>
  <c r="E259" i="64"/>
  <c r="I259" i="64" s="1"/>
  <c r="E258" i="64"/>
  <c r="I258" i="64" s="1"/>
  <c r="E257" i="64"/>
  <c r="I257" i="64" s="1"/>
  <c r="E255" i="64"/>
  <c r="E253" i="64"/>
  <c r="I253" i="64" s="1"/>
  <c r="E252" i="64"/>
  <c r="I252" i="64" s="1"/>
  <c r="E251" i="64"/>
  <c r="I251" i="64" s="1"/>
  <c r="E250" i="64"/>
  <c r="I250" i="64" s="1"/>
  <c r="E249" i="64"/>
  <c r="E248" i="64"/>
  <c r="I248" i="64" s="1"/>
  <c r="E245" i="64"/>
  <c r="I245" i="64" s="1"/>
  <c r="E244" i="64"/>
  <c r="I244" i="64" s="1"/>
  <c r="E243" i="64"/>
  <c r="I243" i="64" s="1"/>
  <c r="E241" i="64"/>
  <c r="E238" i="64"/>
  <c r="I238" i="64" s="1"/>
  <c r="F236" i="64"/>
  <c r="I236" i="64" s="1"/>
  <c r="F234" i="64"/>
  <c r="I234" i="64" s="1"/>
  <c r="F233" i="64"/>
  <c r="I233" i="64" s="1"/>
  <c r="H232" i="64"/>
  <c r="K232" i="64" s="1"/>
  <c r="H231" i="64"/>
  <c r="H228" i="64"/>
  <c r="S228" i="64" s="1"/>
  <c r="H227" i="64"/>
  <c r="S227" i="64" s="1"/>
  <c r="E226" i="64"/>
  <c r="I226" i="64" s="1"/>
  <c r="E225" i="64"/>
  <c r="I225" i="64" s="1"/>
  <c r="E223" i="64"/>
  <c r="E221" i="64"/>
  <c r="I221" i="64" s="1"/>
  <c r="E220" i="64"/>
  <c r="I220" i="64" s="1"/>
  <c r="E219" i="64"/>
  <c r="I219" i="64" s="1"/>
  <c r="E217" i="64"/>
  <c r="E215" i="64"/>
  <c r="I215" i="64" s="1"/>
  <c r="E214" i="64"/>
  <c r="I214" i="64" s="1"/>
  <c r="E213" i="64"/>
  <c r="I213" i="64" s="1"/>
  <c r="E212" i="64"/>
  <c r="I212" i="64" s="1"/>
  <c r="E210" i="64"/>
  <c r="I210" i="64" s="1"/>
  <c r="E208" i="64"/>
  <c r="E207" i="64"/>
  <c r="I207" i="64" s="1"/>
  <c r="E206" i="64"/>
  <c r="I206" i="64" s="1"/>
  <c r="E204" i="64"/>
  <c r="E202" i="64"/>
  <c r="E201" i="64"/>
  <c r="I201" i="64" s="1"/>
  <c r="E200" i="64"/>
  <c r="E199" i="64"/>
  <c r="I199" i="64" s="1"/>
  <c r="E197" i="64"/>
  <c r="I197" i="64" s="1"/>
  <c r="E196" i="64"/>
  <c r="I196" i="64" s="1"/>
  <c r="E195" i="64"/>
  <c r="I195" i="64" s="1"/>
  <c r="E193" i="64"/>
  <c r="I193" i="64" s="1"/>
  <c r="E192" i="64"/>
  <c r="I192" i="64" s="1"/>
  <c r="E191" i="64"/>
  <c r="I191" i="64" s="1"/>
  <c r="E190" i="64"/>
  <c r="I190" i="64" s="1"/>
  <c r="E188" i="64"/>
  <c r="E186" i="64"/>
  <c r="I186" i="64" s="1"/>
  <c r="E185" i="64"/>
  <c r="E184" i="64"/>
  <c r="E183" i="64"/>
  <c r="I183" i="64" s="1"/>
  <c r="E182" i="64"/>
  <c r="E181" i="64"/>
  <c r="I181" i="64" s="1"/>
  <c r="E178" i="64"/>
  <c r="I178" i="64" s="1"/>
  <c r="E177" i="64"/>
  <c r="I177" i="64" s="1"/>
  <c r="E176" i="64"/>
  <c r="E174" i="64"/>
  <c r="H171" i="64"/>
  <c r="H170" i="64"/>
  <c r="F168" i="64"/>
  <c r="F166" i="64"/>
  <c r="I166" i="64" s="1"/>
  <c r="H165" i="64"/>
  <c r="K165" i="64" s="1"/>
  <c r="H164" i="64"/>
  <c r="K164" i="64" s="1"/>
  <c r="E269" i="64" l="1"/>
  <c r="I268" i="64"/>
  <c r="E386" i="64"/>
  <c r="I385" i="64"/>
  <c r="H96" i="64"/>
  <c r="I96" i="64"/>
  <c r="H106" i="64"/>
  <c r="I106" i="64"/>
  <c r="H176" i="64"/>
  <c r="I176" i="64"/>
  <c r="H208" i="64"/>
  <c r="I208" i="64"/>
  <c r="H292" i="64"/>
  <c r="I292" i="64"/>
  <c r="H322" i="64"/>
  <c r="I322" i="64"/>
  <c r="E355" i="64"/>
  <c r="I355" i="64" s="1"/>
  <c r="I354" i="64"/>
  <c r="I396" i="64"/>
  <c r="I409" i="64"/>
  <c r="H486" i="64"/>
  <c r="I486" i="64"/>
  <c r="H498" i="64"/>
  <c r="I498" i="64"/>
  <c r="E510" i="64"/>
  <c r="I510" i="64" s="1"/>
  <c r="I509" i="64"/>
  <c r="H70" i="64"/>
  <c r="I70" i="64"/>
  <c r="H119" i="64"/>
  <c r="I119" i="64"/>
  <c r="H129" i="64"/>
  <c r="I129" i="64"/>
  <c r="E291" i="64"/>
  <c r="I291" i="64" s="1"/>
  <c r="I290" i="64"/>
  <c r="H200" i="64"/>
  <c r="I200" i="64"/>
  <c r="E224" i="64"/>
  <c r="I224" i="64" s="1"/>
  <c r="I223" i="64"/>
  <c r="H249" i="64"/>
  <c r="I249" i="64"/>
  <c r="H272" i="64"/>
  <c r="I272" i="64"/>
  <c r="H402" i="64"/>
  <c r="I402" i="64"/>
  <c r="H423" i="64"/>
  <c r="I423" i="64"/>
  <c r="H478" i="64"/>
  <c r="I478" i="64"/>
  <c r="H500" i="64"/>
  <c r="I500" i="64"/>
  <c r="H512" i="64"/>
  <c r="I512" i="64"/>
  <c r="H167" i="64"/>
  <c r="M167" i="64" s="1"/>
  <c r="I167" i="64"/>
  <c r="H188" i="64"/>
  <c r="I188" i="64"/>
  <c r="H333" i="64"/>
  <c r="I333" i="64"/>
  <c r="E368" i="64"/>
  <c r="I368" i="64" s="1"/>
  <c r="I367" i="64"/>
  <c r="E261" i="64"/>
  <c r="I261" i="64" s="1"/>
  <c r="I260" i="64"/>
  <c r="H273" i="64"/>
  <c r="I273" i="64"/>
  <c r="H326" i="64"/>
  <c r="I326" i="64"/>
  <c r="H346" i="64"/>
  <c r="I346" i="64"/>
  <c r="E360" i="64"/>
  <c r="I359" i="64"/>
  <c r="E491" i="64"/>
  <c r="I491" i="64" s="1"/>
  <c r="I490" i="64"/>
  <c r="H132" i="64"/>
  <c r="I132" i="64"/>
  <c r="J235" i="64"/>
  <c r="I235" i="64"/>
  <c r="H185" i="64"/>
  <c r="I185" i="64"/>
  <c r="E475" i="64"/>
  <c r="I475" i="64" s="1"/>
  <c r="I474" i="64"/>
  <c r="H324" i="64"/>
  <c r="I324" i="64"/>
  <c r="H344" i="64"/>
  <c r="I344" i="64"/>
  <c r="H168" i="64"/>
  <c r="N168" i="64" s="1"/>
  <c r="I168" i="64"/>
  <c r="H182" i="64"/>
  <c r="I182" i="64"/>
  <c r="H202" i="64"/>
  <c r="I202" i="64"/>
  <c r="H263" i="64"/>
  <c r="I263" i="64"/>
  <c r="H274" i="64"/>
  <c r="I274" i="64"/>
  <c r="H336" i="64"/>
  <c r="I336" i="64"/>
  <c r="H426" i="64"/>
  <c r="I426" i="64"/>
  <c r="E471" i="64"/>
  <c r="I471" i="64" s="1"/>
  <c r="I470" i="64"/>
  <c r="H503" i="64"/>
  <c r="I503" i="64"/>
  <c r="H37" i="64"/>
  <c r="I37" i="64"/>
  <c r="H103" i="64"/>
  <c r="I103" i="64"/>
  <c r="H123" i="64"/>
  <c r="I123" i="64"/>
  <c r="H133" i="64"/>
  <c r="I133" i="64"/>
  <c r="H397" i="64"/>
  <c r="N397" i="64" s="1"/>
  <c r="I397" i="64"/>
  <c r="E256" i="64"/>
  <c r="I256" i="64" s="1"/>
  <c r="I255" i="64"/>
  <c r="H109" i="64"/>
  <c r="I109" i="64"/>
  <c r="H120" i="64"/>
  <c r="I120" i="64"/>
  <c r="E205" i="64"/>
  <c r="I205" i="64" s="1"/>
  <c r="I204" i="64"/>
  <c r="E242" i="64"/>
  <c r="I242" i="64" s="1"/>
  <c r="I241" i="64"/>
  <c r="H286" i="64"/>
  <c r="I286" i="64"/>
  <c r="H319" i="64"/>
  <c r="I319" i="64"/>
  <c r="E339" i="64"/>
  <c r="I338" i="64"/>
  <c r="H440" i="64"/>
  <c r="I440" i="64"/>
  <c r="H452" i="64"/>
  <c r="L452" i="64" s="1"/>
  <c r="H472" i="64"/>
  <c r="I472" i="64"/>
  <c r="H38" i="64"/>
  <c r="I38" i="64"/>
  <c r="H93" i="64"/>
  <c r="I93" i="64"/>
  <c r="H115" i="64"/>
  <c r="I115" i="64"/>
  <c r="E126" i="64"/>
  <c r="I126" i="64" s="1"/>
  <c r="I125" i="64"/>
  <c r="H134" i="64"/>
  <c r="I134" i="64"/>
  <c r="H146" i="64"/>
  <c r="I146" i="64"/>
  <c r="H453" i="64"/>
  <c r="N453" i="64" s="1"/>
  <c r="I453" i="64"/>
  <c r="H174" i="64"/>
  <c r="I174" i="64"/>
  <c r="H279" i="64"/>
  <c r="N279" i="64" s="1"/>
  <c r="I279" i="64"/>
  <c r="H499" i="64"/>
  <c r="I499" i="64"/>
  <c r="H25" i="64"/>
  <c r="I25" i="64"/>
  <c r="H184" i="64"/>
  <c r="I184" i="64"/>
  <c r="H217" i="64"/>
  <c r="I217" i="64"/>
  <c r="H278" i="64"/>
  <c r="I278" i="64"/>
  <c r="H351" i="64"/>
  <c r="I351" i="64"/>
  <c r="H429" i="64"/>
  <c r="I429" i="64"/>
  <c r="E443" i="64"/>
  <c r="I443" i="64" s="1"/>
  <c r="I442" i="64"/>
  <c r="H495" i="64"/>
  <c r="I495" i="64"/>
  <c r="H31" i="64"/>
  <c r="I31" i="64"/>
  <c r="H49" i="64"/>
  <c r="I49" i="64"/>
  <c r="H58" i="64"/>
  <c r="I58" i="64"/>
  <c r="H67" i="64"/>
  <c r="I67" i="64"/>
  <c r="H68" i="64"/>
  <c r="H492" i="64"/>
  <c r="H477" i="64"/>
  <c r="K450" i="64"/>
  <c r="H52" i="64"/>
  <c r="H8" i="64"/>
  <c r="H7" i="64" s="1"/>
  <c r="K7" i="64" s="1"/>
  <c r="H298" i="64"/>
  <c r="H46" i="64"/>
  <c r="E211" i="64"/>
  <c r="H367" i="64"/>
  <c r="E504" i="64"/>
  <c r="I504" i="64" s="1"/>
  <c r="H143" i="64"/>
  <c r="H169" i="64"/>
  <c r="O169" i="64" s="1"/>
  <c r="H26" i="64"/>
  <c r="H389" i="64"/>
  <c r="H356" i="64"/>
  <c r="H364" i="64"/>
  <c r="H59" i="64"/>
  <c r="H116" i="64"/>
  <c r="H318" i="64"/>
  <c r="H350" i="64"/>
  <c r="H371" i="64"/>
  <c r="H509" i="64"/>
  <c r="H468" i="64"/>
  <c r="H30" i="64"/>
  <c r="H183" i="64"/>
  <c r="H190" i="64"/>
  <c r="H221" i="64"/>
  <c r="H243" i="64"/>
  <c r="H340" i="64"/>
  <c r="H385" i="64"/>
  <c r="H390" i="64"/>
  <c r="H396" i="64"/>
  <c r="L396" i="64" s="1"/>
  <c r="H34" i="64"/>
  <c r="H138" i="64"/>
  <c r="H150" i="64"/>
  <c r="H354" i="64"/>
  <c r="H359" i="64"/>
  <c r="H365" i="64"/>
  <c r="H375" i="64"/>
  <c r="H488" i="64"/>
  <c r="H506" i="64"/>
  <c r="H39" i="64"/>
  <c r="H45" i="64"/>
  <c r="H84" i="64"/>
  <c r="E246" i="64"/>
  <c r="I246" i="64" s="1"/>
  <c r="H253" i="64"/>
  <c r="H50" i="64"/>
  <c r="H210" i="64"/>
  <c r="H388" i="64"/>
  <c r="K406" i="64"/>
  <c r="H422" i="64"/>
  <c r="H136" i="64"/>
  <c r="H135" i="64" s="1"/>
  <c r="H280" i="64"/>
  <c r="O280" i="64" s="1"/>
  <c r="E139" i="64"/>
  <c r="I139" i="64" s="1"/>
  <c r="H439" i="64"/>
  <c r="H446" i="64"/>
  <c r="H490" i="64"/>
  <c r="H513" i="64"/>
  <c r="H61" i="64"/>
  <c r="H80" i="64"/>
  <c r="H86" i="64"/>
  <c r="H233" i="64"/>
  <c r="L233" i="64" s="1"/>
  <c r="H155" i="64"/>
  <c r="S274" i="64"/>
  <c r="E179" i="64"/>
  <c r="I179" i="64" s="1"/>
  <c r="H193" i="64"/>
  <c r="H226" i="64"/>
  <c r="H235" i="64"/>
  <c r="M235" i="64" s="1"/>
  <c r="H258" i="64"/>
  <c r="H271" i="64"/>
  <c r="H295" i="64"/>
  <c r="H303" i="64"/>
  <c r="O303" i="64" s="1"/>
  <c r="H332" i="64"/>
  <c r="E433" i="64"/>
  <c r="I433" i="64" s="1"/>
  <c r="H196" i="64"/>
  <c r="H192" i="64"/>
  <c r="H234" i="64"/>
  <c r="L234" i="64" s="1"/>
  <c r="H410" i="64"/>
  <c r="O410" i="64" s="1"/>
  <c r="H444" i="64"/>
  <c r="E496" i="64"/>
  <c r="H87" i="64"/>
  <c r="H112" i="64"/>
  <c r="H128" i="64"/>
  <c r="H207" i="64"/>
  <c r="H268" i="64"/>
  <c r="H369" i="64"/>
  <c r="H435" i="64"/>
  <c r="H445" i="64"/>
  <c r="H455" i="64"/>
  <c r="O455" i="64" s="1"/>
  <c r="H484" i="64"/>
  <c r="H487" i="64"/>
  <c r="H505" i="64"/>
  <c r="H43" i="64"/>
  <c r="H81" i="64"/>
  <c r="H85" i="64"/>
  <c r="H108" i="64"/>
  <c r="H117" i="64"/>
  <c r="E427" i="64"/>
  <c r="I427" i="64" s="1"/>
  <c r="H473" i="64"/>
  <c r="H501" i="64"/>
  <c r="H27" i="64"/>
  <c r="H94" i="64"/>
  <c r="H99" i="64"/>
  <c r="H125" i="64"/>
  <c r="H140" i="64"/>
  <c r="H219" i="64"/>
  <c r="H225" i="64"/>
  <c r="H244" i="64"/>
  <c r="H251" i="64"/>
  <c r="H257" i="64"/>
  <c r="H297" i="64"/>
  <c r="H302" i="64"/>
  <c r="K301" i="64" s="1"/>
  <c r="H338" i="64"/>
  <c r="H341" i="64"/>
  <c r="H370" i="64"/>
  <c r="H374" i="64"/>
  <c r="H378" i="64"/>
  <c r="H387" i="64"/>
  <c r="H82" i="64"/>
  <c r="H121" i="64"/>
  <c r="H144" i="64"/>
  <c r="H149" i="64"/>
  <c r="Q159" i="64"/>
  <c r="H265" i="64"/>
  <c r="H294" i="64"/>
  <c r="H320" i="64"/>
  <c r="H325" i="64"/>
  <c r="H331" i="64"/>
  <c r="H335" i="64"/>
  <c r="H357" i="64"/>
  <c r="H363" i="64"/>
  <c r="H383" i="64"/>
  <c r="H418" i="64"/>
  <c r="H432" i="64"/>
  <c r="H442" i="64"/>
  <c r="H474" i="64"/>
  <c r="H485" i="64"/>
  <c r="H17" i="64"/>
  <c r="H44" i="64"/>
  <c r="H181" i="64"/>
  <c r="H212" i="64"/>
  <c r="H178" i="64"/>
  <c r="H276" i="64"/>
  <c r="H428" i="64"/>
  <c r="H470" i="64"/>
  <c r="H10" i="64"/>
  <c r="E29" i="64"/>
  <c r="I29" i="64" s="1"/>
  <c r="H122" i="64"/>
  <c r="H127" i="64"/>
  <c r="H141" i="64"/>
  <c r="H145" i="64"/>
  <c r="H205" i="64"/>
  <c r="H261" i="64"/>
  <c r="H224" i="64"/>
  <c r="H256" i="64"/>
  <c r="H242" i="64"/>
  <c r="E343" i="64"/>
  <c r="I343" i="64" s="1"/>
  <c r="H214" i="64"/>
  <c r="H260" i="64"/>
  <c r="H35" i="64"/>
  <c r="H130" i="64"/>
  <c r="H166" i="64"/>
  <c r="H177" i="64"/>
  <c r="H191" i="64"/>
  <c r="H197" i="64"/>
  <c r="H206" i="64"/>
  <c r="H220" i="64"/>
  <c r="H223" i="64"/>
  <c r="K231" i="64"/>
  <c r="H238" i="64"/>
  <c r="H237" i="64" s="1"/>
  <c r="O237" i="64" s="1"/>
  <c r="H241" i="64"/>
  <c r="H252" i="64"/>
  <c r="H255" i="64"/>
  <c r="H266" i="64"/>
  <c r="L278" i="64"/>
  <c r="H290" i="64"/>
  <c r="H328" i="64"/>
  <c r="S448" i="64"/>
  <c r="H475" i="64"/>
  <c r="H362" i="64"/>
  <c r="H434" i="64"/>
  <c r="H126" i="64"/>
  <c r="S299" i="64"/>
  <c r="H47" i="64"/>
  <c r="E175" i="64"/>
  <c r="I175" i="64" s="1"/>
  <c r="E189" i="64"/>
  <c r="I189" i="64" s="1"/>
  <c r="E218" i="64"/>
  <c r="I218" i="64" s="1"/>
  <c r="E264" i="64"/>
  <c r="I264" i="64" s="1"/>
  <c r="H348" i="64"/>
  <c r="H391" i="64"/>
  <c r="H471" i="64"/>
  <c r="H479" i="64"/>
  <c r="H32" i="64"/>
  <c r="H91" i="64"/>
  <c r="H110" i="64"/>
  <c r="H293" i="64"/>
  <c r="S447" i="64"/>
  <c r="H65" i="64"/>
  <c r="H186" i="64"/>
  <c r="H195" i="64"/>
  <c r="H201" i="64"/>
  <c r="H204" i="64"/>
  <c r="H215" i="64"/>
  <c r="H236" i="64"/>
  <c r="N236" i="64" s="1"/>
  <c r="N518" i="64" s="1"/>
  <c r="H524" i="64" s="1"/>
  <c r="H250" i="64"/>
  <c r="H270" i="64"/>
  <c r="H291" i="64"/>
  <c r="H315" i="64"/>
  <c r="E349" i="64"/>
  <c r="I349" i="64" s="1"/>
  <c r="H355" i="64"/>
  <c r="H368" i="64"/>
  <c r="H379" i="64"/>
  <c r="S392" i="64"/>
  <c r="H491" i="64"/>
  <c r="H507" i="64"/>
  <c r="H71" i="64"/>
  <c r="H430" i="64"/>
  <c r="H510" i="64"/>
  <c r="E323" i="64"/>
  <c r="I323" i="64" s="1"/>
  <c r="H380" i="64"/>
  <c r="E421" i="64"/>
  <c r="I421" i="64" s="1"/>
  <c r="H420" i="64"/>
  <c r="E438" i="64"/>
  <c r="I438" i="64" s="1"/>
  <c r="H437" i="64"/>
  <c r="H41" i="64"/>
  <c r="H53" i="64"/>
  <c r="H62" i="64"/>
  <c r="S161" i="64"/>
  <c r="S518" i="64" s="1"/>
  <c r="E401" i="64"/>
  <c r="I401" i="64" s="1"/>
  <c r="H342" i="64"/>
  <c r="H199" i="64"/>
  <c r="H213" i="64"/>
  <c r="H245" i="64"/>
  <c r="H248" i="64"/>
  <c r="H259" i="64"/>
  <c r="H330" i="64"/>
  <c r="H334" i="64"/>
  <c r="H345" i="64"/>
  <c r="H352" i="64"/>
  <c r="H403" i="64"/>
  <c r="H424" i="64"/>
  <c r="E483" i="64"/>
  <c r="I483" i="64" s="1"/>
  <c r="H482" i="64"/>
  <c r="H97" i="64"/>
  <c r="H400" i="64"/>
  <c r="H493" i="64"/>
  <c r="H23" i="64"/>
  <c r="H56" i="64"/>
  <c r="H104" i="64"/>
  <c r="E327" i="64"/>
  <c r="I327" i="64" s="1"/>
  <c r="H361" i="64"/>
  <c r="S404" i="64"/>
  <c r="H409" i="64"/>
  <c r="H443" i="64"/>
  <c r="H450" i="64"/>
  <c r="H147" i="64"/>
  <c r="H480" i="64"/>
  <c r="H497" i="64"/>
  <c r="H511" i="64"/>
  <c r="H36" i="64"/>
  <c r="H48" i="64"/>
  <c r="H54" i="64"/>
  <c r="H57" i="64"/>
  <c r="H63" i="64"/>
  <c r="H66" i="64"/>
  <c r="H72" i="64"/>
  <c r="H89" i="64"/>
  <c r="H92" i="64"/>
  <c r="H98" i="64"/>
  <c r="H105" i="64"/>
  <c r="H111" i="64"/>
  <c r="H131" i="64"/>
  <c r="H148" i="64"/>
  <c r="H151" i="64"/>
  <c r="H154" i="64"/>
  <c r="H157" i="64"/>
  <c r="H156" i="64" s="1"/>
  <c r="H160" i="64"/>
  <c r="H339" i="64" l="1"/>
  <c r="I339" i="64"/>
  <c r="H114" i="64"/>
  <c r="H360" i="64"/>
  <c r="I360" i="64"/>
  <c r="H496" i="64"/>
  <c r="I496" i="64"/>
  <c r="H211" i="64"/>
  <c r="I211" i="64"/>
  <c r="H386" i="64"/>
  <c r="I386" i="64"/>
  <c r="H269" i="64"/>
  <c r="I269" i="64"/>
  <c r="H531" i="64"/>
  <c r="H504" i="64"/>
  <c r="H153" i="64"/>
  <c r="H296" i="64"/>
  <c r="M518" i="64"/>
  <c r="H525" i="64" s="1"/>
  <c r="K518" i="64"/>
  <c r="H522" i="64" s="1"/>
  <c r="H180" i="64"/>
  <c r="H246" i="64"/>
  <c r="H240" i="64" s="1"/>
  <c r="H366" i="64"/>
  <c r="H267" i="64"/>
  <c r="H353" i="64"/>
  <c r="H441" i="64"/>
  <c r="H394" i="64"/>
  <c r="H289" i="64"/>
  <c r="H288" i="64" s="1"/>
  <c r="P288" i="64" s="1"/>
  <c r="H139" i="64"/>
  <c r="H137" i="64" s="1"/>
  <c r="H502" i="64"/>
  <c r="H9" i="64"/>
  <c r="F152" i="64"/>
  <c r="H301" i="64"/>
  <c r="H230" i="64"/>
  <c r="H358" i="64"/>
  <c r="H373" i="64"/>
  <c r="H467" i="64"/>
  <c r="H427" i="64"/>
  <c r="H425" i="64" s="1"/>
  <c r="H179" i="64"/>
  <c r="H118" i="64"/>
  <c r="H222" i="64"/>
  <c r="H433" i="64"/>
  <c r="H431" i="64" s="1"/>
  <c r="H209" i="64"/>
  <c r="H489" i="64"/>
  <c r="H254" i="64"/>
  <c r="H29" i="64"/>
  <c r="F113" i="64" s="1"/>
  <c r="I113" i="64" s="1"/>
  <c r="L166" i="64"/>
  <c r="H163" i="64"/>
  <c r="H494" i="64"/>
  <c r="H421" i="64"/>
  <c r="H417" i="64" s="1"/>
  <c r="H508" i="64"/>
  <c r="H401" i="64"/>
  <c r="H399" i="64" s="1"/>
  <c r="H398" i="64" s="1"/>
  <c r="H349" i="64"/>
  <c r="H347" i="64" s="1"/>
  <c r="H327" i="64"/>
  <c r="H343" i="64"/>
  <c r="H337" i="64" s="1"/>
  <c r="H247" i="64"/>
  <c r="H203" i="64"/>
  <c r="H218" i="64"/>
  <c r="H216" i="64" s="1"/>
  <c r="Q160" i="64"/>
  <c r="Q518" i="64" s="1"/>
  <c r="H529" i="64"/>
  <c r="H406" i="64"/>
  <c r="L409" i="64"/>
  <c r="H483" i="64"/>
  <c r="H481" i="64" s="1"/>
  <c r="H323" i="64"/>
  <c r="H189" i="64"/>
  <c r="H187" i="64" s="1"/>
  <c r="H264" i="64"/>
  <c r="H262" i="64" s="1"/>
  <c r="H438" i="64"/>
  <c r="H436" i="64" s="1"/>
  <c r="O9" i="64"/>
  <c r="O518" i="64" s="1"/>
  <c r="H526" i="64" s="1"/>
  <c r="H175" i="64"/>
  <c r="H152" i="64" l="1"/>
  <c r="H142" i="64" s="1"/>
  <c r="I152" i="64"/>
  <c r="I518" i="64" s="1"/>
  <c r="L518" i="64"/>
  <c r="H523" i="64" s="1"/>
  <c r="H275" i="64"/>
  <c r="J275" i="64" s="1"/>
  <c r="H173" i="64"/>
  <c r="H172" i="64" s="1"/>
  <c r="H314" i="64"/>
  <c r="H313" i="64" s="1"/>
  <c r="P313" i="64" s="1"/>
  <c r="H416" i="64"/>
  <c r="P416" i="64" s="1"/>
  <c r="H466" i="64"/>
  <c r="P466" i="64" s="1"/>
  <c r="P398" i="64"/>
  <c r="H393" i="64"/>
  <c r="H239" i="64"/>
  <c r="H113" i="64"/>
  <c r="H22" i="64" s="1"/>
  <c r="H21" i="64" s="1"/>
  <c r="H405" i="64" l="1"/>
  <c r="I519" i="64"/>
  <c r="H300" i="64"/>
  <c r="J300" i="64" s="1"/>
  <c r="H449" i="64"/>
  <c r="J449" i="64" s="1"/>
  <c r="P239" i="64"/>
  <c r="H229" i="64"/>
  <c r="J229" i="64" s="1"/>
  <c r="P172" i="64"/>
  <c r="H162" i="64"/>
  <c r="H518" i="64" s="1"/>
  <c r="P21" i="64"/>
  <c r="H6" i="64"/>
  <c r="P518" i="64" l="1"/>
  <c r="H527" i="64" s="1"/>
  <c r="J6" i="64"/>
  <c r="J162" i="64"/>
  <c r="H519" i="64" l="1"/>
  <c r="J516" i="64"/>
  <c r="H532" i="64" l="1"/>
  <c r="H520" i="64"/>
</calcChain>
</file>

<file path=xl/sharedStrings.xml><?xml version="1.0" encoding="utf-8"?>
<sst xmlns="http://schemas.openxmlformats.org/spreadsheetml/2006/main" count="1664" uniqueCount="484">
  <si>
    <t>CỘNG HÒA XÃ HỘI CHỦ NGHĨA VIỆT NAM</t>
  </si>
  <si>
    <t>Độc lập - Tự do - Hạnh phúc</t>
  </si>
  <si>
    <t>TT</t>
  </si>
  <si>
    <t>Nội Dung</t>
  </si>
  <si>
    <t>Mã Hiệu</t>
  </si>
  <si>
    <t>ĐVT</t>
  </si>
  <si>
    <t>Khối lượng</t>
  </si>
  <si>
    <t>Đơn giá</t>
  </si>
  <si>
    <t xml:space="preserve">Hệ số </t>
  </si>
  <si>
    <t>Thành tiền (đ)</t>
  </si>
  <si>
    <t>Cộng</t>
  </si>
  <si>
    <t>I</t>
  </si>
  <si>
    <t>II</t>
  </si>
  <si>
    <t>m2</t>
  </si>
  <si>
    <t>m3</t>
  </si>
  <si>
    <t>kg</t>
  </si>
  <si>
    <t>cây</t>
  </si>
  <si>
    <t>Trong đó:</t>
  </si>
  <si>
    <t>7-18</t>
  </si>
  <si>
    <t>NGƯỜI TỔNG HỢP                      NGƯỜI KIỂM TRA                      NGƯỜI DUYỆT</t>
  </si>
  <si>
    <t>ĐD. CHỦ ĐẦU TƯ                         CB. ĐỊA CHÍNH XÃ                       TM. UBND XÃ</t>
  </si>
  <si>
    <t>1/</t>
  </si>
  <si>
    <t>Hộ ông (bà) Vũ Hoài Thanh, Nguyễn Thị Sâm (Thửa đất số 25,26/14)</t>
  </si>
  <si>
    <t xml:space="preserve">Đỗ </t>
  </si>
  <si>
    <t>Trụ cổng</t>
  </si>
  <si>
    <t xml:space="preserve"> + Đào móng trụ cột bằng thủ công</t>
  </si>
  <si>
    <t xml:space="preserve"> + Xây trụ gạch chỉ h ≤ 6m, VXM50</t>
  </si>
  <si>
    <t>30-20</t>
  </si>
  <si>
    <t xml:space="preserve"> + Trát trụ cột VXM 50</t>
  </si>
  <si>
    <t xml:space="preserve"> + Bê tông sàn mái vữa BT mac 200</t>
  </si>
  <si>
    <t xml:space="preserve"> + Sản xuất, lắp dựng cốt thép sàn mái đường kính ≤ 10mm</t>
  </si>
  <si>
    <t xml:space="preserve"> + Sản xuất, lắp dựng tháo dỡ ván khuôn sàn mái</t>
  </si>
  <si>
    <t>+ Quét ve</t>
  </si>
  <si>
    <t>Mái cổng BTCT dài 3,2m; rộng 1,1m; dày 0,15m</t>
  </si>
  <si>
    <t>m</t>
  </si>
  <si>
    <t>Cổng khung tuýp phi 48, nan sen hoa sắt hình, rộng 2,1m; cao 2,35m</t>
  </si>
  <si>
    <t>Dậu hai bên ngõ xây gạch chỉ 110, có trát, quét sơn 1 mặt dài 6,2m; cao 0,75m</t>
  </si>
  <si>
    <t>Giằng BTCT dài 6,2m, rộng 0,25m, dày 0,15m x 2 bên</t>
  </si>
  <si>
    <t>+ Bê tông sàn mái vữa BT M200</t>
  </si>
  <si>
    <t>Mặt BTCT dài 6.2m; rộng 0.25m; dày 0.1m x 2 bên</t>
  </si>
  <si>
    <t>+ Ốp gạch ceramic 25x40</t>
  </si>
  <si>
    <t>+ Đào móng băng, bằng thủ công</t>
  </si>
  <si>
    <t>+ Đắp đất nền móng công trình, bằng thủ công</t>
  </si>
  <si>
    <t>+ Xây móng gạch chỉ vữa XM M50</t>
  </si>
  <si>
    <t>+ Xây tường gạch chỉ, chiều dày ≤ 11cm, cao ≤ 6m, vữa XM M50</t>
  </si>
  <si>
    <t>+ Quét sơn</t>
  </si>
  <si>
    <t>Dậu phía trước xây gạch chỉ 110, có trát, dài 8,0m; cao 1,0m</t>
  </si>
  <si>
    <t>+ Trát tường ngoài vữa XM M50</t>
  </si>
  <si>
    <t>Bờ ao phía Tây xây gạch bê tông 110, trát 1 mặt dài 13,7m; cao 0,9m</t>
  </si>
  <si>
    <t>+ Xây móng gạch không nung vữa XM M75</t>
  </si>
  <si>
    <t>+ Xây tường gạch không nung, chiều dày ≤ 33cm, cao ≤ 6m, vữa XM M50</t>
  </si>
  <si>
    <t>Xây tường gạch chỉ 110 dài 7,5m; cao 0,6m</t>
  </si>
  <si>
    <t>Dậu phía trước xây gạch chỉ 110, có trát 1 mặt, dài 1,7m; cao 1,65m</t>
  </si>
  <si>
    <t>Bờ ao phía Nam xây gạch bê tông 110, dài 15,0m; cao 1,7m</t>
  </si>
  <si>
    <t xml:space="preserve"> + Bê tông móng vữa BT M200</t>
  </si>
  <si>
    <t>+ Đắp phào đơn vữa XM M75</t>
  </si>
  <si>
    <t>61-27</t>
  </si>
  <si>
    <t xml:space="preserve"> + Sản xuất, lắp dựng cốt thép sàn mái đường kính ≤ 18mm</t>
  </si>
  <si>
    <t>Hỗ trợ đào tạo chuyển đổi nghề nghiệp và tìm kiếm việc làm</t>
  </si>
  <si>
    <t>Bồi thường đất trồng cây lâu năm</t>
  </si>
  <si>
    <t>CLN</t>
  </si>
  <si>
    <t>III</t>
  </si>
  <si>
    <t>2/</t>
  </si>
  <si>
    <t>Rau đay</t>
  </si>
  <si>
    <t>Trụ cổng xây gạch chỉ kt: 0,5x0,5x2,6m x 2 trụ, quét sơn</t>
  </si>
  <si>
    <t xml:space="preserve"> + Xây móng gạch chỉ vữa XM M50</t>
  </si>
  <si>
    <t>Mái cổng BTCT dài 4,0m; rộng 1,2m; dày 0,15m</t>
  </si>
  <si>
    <t>Cổng khung sắt hộp 4x8, nan sắt hộp 2x4, rộng 2,8m; cao 2,4m</t>
  </si>
  <si>
    <t>Tường xây gạch chỉ 110, có trát, dài 6,4m; cao 0,6m x 2 bên, quét ve</t>
  </si>
  <si>
    <t>+ Xây đè mặt tường gạch chỉ, chiều dày ≤ 33cm, cao ≤ 6m, vữa XM M50</t>
  </si>
  <si>
    <t>11-18</t>
  </si>
  <si>
    <t>Tường xây gạch chỉ 110, có trát, dài 1,5m; cao 1,4m x 2 bên</t>
  </si>
  <si>
    <t>Bờ ao xây gạch chỉ 220, có trát, dài 33,4m; cao 1,1m</t>
  </si>
  <si>
    <t>+ Xây tường gạch chỉ, chiều dày ≤ 33cm, cao ≤ 6m, vữa XM M50</t>
  </si>
  <si>
    <t>Sân bê tông M200 dài 8,0m; rộng 2,8m</t>
  </si>
  <si>
    <t>3/</t>
  </si>
  <si>
    <t>Hộ ông (bà) Phạm Văn Hải, Nguyễn Thị Minh Hằng (Thửa đất số 19/14)</t>
  </si>
  <si>
    <t>Đu đủ đkg 2-4cm</t>
  </si>
  <si>
    <t>Đu đủ đkg 4-8cm</t>
  </si>
  <si>
    <t>Rau màu các loại</t>
  </si>
  <si>
    <t>khóm</t>
  </si>
  <si>
    <t>Tre (khóm 3-5 cây)</t>
  </si>
  <si>
    <t>Bờ ao xây gạch chỉ 220, có trát, dài 20,6m; cao 1,1m</t>
  </si>
  <si>
    <t>Bậc cầu ao xây gạch chỉ có trát, dài 1,5m; rộng 0,35m; cao 0,2m x 2 bậc</t>
  </si>
  <si>
    <t>4/</t>
  </si>
  <si>
    <t>Hộ ông (bà) Ngô Văn Chi, Trần Thị Phương (Thửa đất số 18/14)</t>
  </si>
  <si>
    <t>Hoa hồng đkg 2-4cm</t>
  </si>
  <si>
    <t>Giong giềng</t>
  </si>
  <si>
    <t>Rau ngót</t>
  </si>
  <si>
    <t>Rau các loại</t>
  </si>
  <si>
    <t>Cổng</t>
  </si>
  <si>
    <t>Lõi cột BTCT</t>
  </si>
  <si>
    <t xml:space="preserve"> + Bê tông cột M200</t>
  </si>
  <si>
    <t xml:space="preserve"> + Sản xuất, lắp dựng cốt thép cột trụ đường kính ≤ 18mm</t>
  </si>
  <si>
    <t xml:space="preserve"> + Sản xuất, lắp dựng cốt thép cột trụ đường kính ≤ 10mm</t>
  </si>
  <si>
    <t xml:space="preserve"> + Xây móng gạch chỉ VXM 50</t>
  </si>
  <si>
    <t>Cánh cổng khung tuýp phi 34 nan sắt vuông phi 10 rộng 2,2m; cao 2,15m</t>
  </si>
  <si>
    <t>Trụ cổng: xây gạch chỉ kích thước: 0,5x0,5m cao 2,35m x 2 trụ có lõi cột BTCT kích thước: 0,2x0,2x2,5m. Mái cổng BTCT dài 3,5m; rộng 1,05m; dày 0,12m</t>
  </si>
  <si>
    <t>+ Trát gờ chỉ, vữa XM mác 75</t>
  </si>
  <si>
    <t>Mái cổng BTCT dài 3,5m; rộng 1,05m; dày 0,12m</t>
  </si>
  <si>
    <t>+ Xây đè gạch không nung 220 dài 8,3m, cao 0,2m, chiều dày ≤ 33cm, cao &lt;=6m, vữa XM M50</t>
  </si>
  <si>
    <t>Tường phía Tây xây gạch chỉ 110, quét sơn, dài 11,7m; cao 1,25m; trụ tường BTCT kt:0,25x0,25x1,5m x 3 trụ</t>
  </si>
  <si>
    <t xml:space="preserve"> + Bê tông trụ M200</t>
  </si>
  <si>
    <t xml:space="preserve"> Tường phía trước xây gạch không nung 150, có trát dài 11,6m; cao 1,05m</t>
  </si>
  <si>
    <t xml:space="preserve"> Tường phía Đông xây gạch không nung 150, không trát dài 7,5m; cao 1,0m</t>
  </si>
  <si>
    <t>Tường giáp vườn xây gạch chỉ 110, ốp gạch thẻ, dài 9,0m; cao 0,5m</t>
  </si>
  <si>
    <t>+ Ốp gạch thẻ trang trí</t>
  </si>
  <si>
    <t xml:space="preserve">+ Ốp gạch thẻ trang trí </t>
  </si>
  <si>
    <t xml:space="preserve"> Tường ngăn trong vườn xây gạch không nung 110, không trát dài 9,0m; cao 0,2m</t>
  </si>
  <si>
    <t>Cột đèn tuýp phi 48</t>
  </si>
  <si>
    <t>GTT</t>
  </si>
  <si>
    <t>5/</t>
  </si>
  <si>
    <t xml:space="preserve"> Bờ ao xây gạch không nung tường 220, dài 3,2m; cao 0,7m</t>
  </si>
  <si>
    <t>6/</t>
  </si>
  <si>
    <t>Cánh cổng khung tuýp phi 24 nan sắt vuông phi 10 rộng 1,4m; cao 1,8m</t>
  </si>
  <si>
    <t>Trụ cổng: xây gạch chỉ kích thước: 0,35x0,45m cao 1,9m x 2 trụ.</t>
  </si>
  <si>
    <t>+ Xây tường gạch xỉ vữa XM M50</t>
  </si>
  <si>
    <t xml:space="preserve"> Tường xây gạch xỉ, dài 30,5m; cao 1,4m</t>
  </si>
  <si>
    <t>Sân bê tông gạch vỡ láng vữa XM cát dài 7,6m; rộng 2,0m</t>
  </si>
  <si>
    <t xml:space="preserve"> Tường ngăn xây gạch không nung 110, không trát dài 8,0m; cao 0,5m</t>
  </si>
  <si>
    <t>Tường ngăn xây gạch chỉ 110, không trát, dài 16,2m; cao 0,2m</t>
  </si>
  <si>
    <t>Chuồng gà xây gạch chỉ 110, không trát, dài 2,0m, rộng 1,2m, cao 1,0m. Mái broximang</t>
  </si>
  <si>
    <t>+ Mái broxi măng</t>
  </si>
  <si>
    <t>7/</t>
  </si>
  <si>
    <t>Sấu đkg 15-25cm</t>
  </si>
  <si>
    <t>Rau muống</t>
  </si>
  <si>
    <t xml:space="preserve">khóm </t>
  </si>
  <si>
    <t xml:space="preserve">Lạc </t>
  </si>
  <si>
    <t>Đinh lăng đkg 2-4cm</t>
  </si>
  <si>
    <t>Si đkg 10-15cm</t>
  </si>
  <si>
    <t>Cánh cổng khung tuýp phi 34 nan sắt vuông phi 10 rộng 2,2m; cao 2,2m</t>
  </si>
  <si>
    <t>Trụ cổng: xây gạch chỉ kích thước: 0,35x0,45m cao 2,4m x 2 trụ, quét ve</t>
  </si>
  <si>
    <t>Mái cổng BTCT dài 3,4m; rộng 1,1m; dày 0,12m</t>
  </si>
  <si>
    <t xml:space="preserve"> Tường phía trước xây gạch xỉ 220, có trát dài 27,6m; cao 1,35m</t>
  </si>
  <si>
    <t xml:space="preserve"> Tường phía trong sân xây gạch không nung 220, có trát dài 7,0m; cao 0,9m</t>
  </si>
  <si>
    <t>Chuồng gà xây gạch không nung tường 220, mái broximang khung tre luồng, dài 8,5m, rộng 3,25m; cao 2,0m</t>
  </si>
  <si>
    <t>Sân bê tông M200 dài 7,0m; rộng 2,25m</t>
  </si>
  <si>
    <t xml:space="preserve"> Bờ ao phía Đông xây gạch không nung tường 220, có trát, dài 17,1m; cao 0,85m</t>
  </si>
  <si>
    <t>Chuồng vịt xây gạch không nung tường 220, dài 2,1m, rộng 0,45m, cao 1,2m. Mái broximang</t>
  </si>
  <si>
    <t>8/</t>
  </si>
  <si>
    <t>Đu đủ đkg 8-15cm</t>
  </si>
  <si>
    <t>Giềng</t>
  </si>
  <si>
    <t>Cây cối, hoa màu trên hành lang</t>
  </si>
  <si>
    <t>Cây cối, hoa màu trên đất của hộ</t>
  </si>
  <si>
    <t>Diện tích sàn</t>
  </si>
  <si>
    <t xml:space="preserve">* </t>
  </si>
  <si>
    <t>Phòng khách</t>
  </si>
  <si>
    <t>Lát nền, sàn gạch ceramic 60x60</t>
  </si>
  <si>
    <t>Ốp chân tường gạch 60x60 dài 16,1m; cao 0,6m</t>
  </si>
  <si>
    <t>Cửa chính gỗ lim Nam Phi đóng dải bản có khuôn bao rộng 2,7m; cao 2,55m</t>
  </si>
  <si>
    <t>+ Ô thoáng song gỗ lim bưng kính</t>
  </si>
  <si>
    <t>Cửa ngách gỗ chò đóng dải bản rộng 1,25m; cao 2,0m</t>
  </si>
  <si>
    <t>+ Ốp cạnh cửa gạch 20x25</t>
  </si>
  <si>
    <t>Cửa sổ gỗ chò đóng dải bản rộng 1,1m; cao 1,6m</t>
  </si>
  <si>
    <t>+ 7 song, 2 lập là gỗ chò</t>
  </si>
  <si>
    <t>cái</t>
  </si>
  <si>
    <t>Cửa sổ nhôm kính vân gỗ PMA rộng 1,1m; cao 1,6m</t>
  </si>
  <si>
    <t>+ Song Inox 3x4</t>
  </si>
  <si>
    <t>Cửa thông phòng nhôm kính có ray treo rộng 0,85m; cao 2,25m</t>
  </si>
  <si>
    <t>Quét sơn</t>
  </si>
  <si>
    <t>Củng thờ</t>
  </si>
  <si>
    <t>Trụ xây trụ gạch chỉ kt 0,25x0,25x0,8m x 4 trụ</t>
  </si>
  <si>
    <t xml:space="preserve">Ốp mặt củng gạch 60x60 </t>
  </si>
  <si>
    <t>Phòng ngủ số 1</t>
  </si>
  <si>
    <t>Lát nền, sàn gạch ceramic 60x60 dài 3,4m; rộng 2,55m</t>
  </si>
  <si>
    <t xml:space="preserve">Ốp chân tường gạch 60x60 </t>
  </si>
  <si>
    <t>+ Ô thoáng gỗ chò kính dịch có khuôn bao dài 0,95m; rộng 0,75m</t>
  </si>
  <si>
    <t>Di chuyển + lắp đặt điều hoà</t>
  </si>
  <si>
    <t>bộ</t>
  </si>
  <si>
    <t>Phòng ngủ số 2</t>
  </si>
  <si>
    <t>Lát nền, sàn gạch ceramic 60x60 dài 3,3m; rộng 2,55m</t>
  </si>
  <si>
    <t>Nhà tắm + nhà vệ sinh</t>
  </si>
  <si>
    <t>Lát nền, sàn gạch ceramic 30x30 dài 3,35m; rộng 2,8m</t>
  </si>
  <si>
    <t>Ốp tường gạch 30x45</t>
  </si>
  <si>
    <t>Cửa nhựa nhà tắm + nhà vệ sinh rộng 0,8m; cao 1,95m x 2 cửa</t>
  </si>
  <si>
    <t>Ốp tường gạch 25x40</t>
  </si>
  <si>
    <t>Chậu rửa có chân Hảo Cảnh</t>
  </si>
  <si>
    <t>chiếc</t>
  </si>
  <si>
    <t xml:space="preserve">Gương treo + giá để đồ </t>
  </si>
  <si>
    <t>Sen vòi nóng lạnh</t>
  </si>
  <si>
    <t>Thoát sàn Inox</t>
  </si>
  <si>
    <t>Mắc treo Inox</t>
  </si>
  <si>
    <t>Xí bệt Ceravi</t>
  </si>
  <si>
    <t>Tháo dỡ + lắp đặt bình nóng lạnh</t>
  </si>
  <si>
    <t>Ô thoáng khung gỗ kính dịch</t>
  </si>
  <si>
    <t>Hành lang</t>
  </si>
  <si>
    <t>Lát nền, sàn gạch ceramic 60x60 dài 3,8m; rộng 0,95m</t>
  </si>
  <si>
    <t>Cửa ngách ra vườn gỗ chò đóng dải bản rộng 0,9m; cao 2,0m</t>
  </si>
  <si>
    <t>+ Ốp cạnh cửa gạch 25x40</t>
  </si>
  <si>
    <t>Hiên nhà</t>
  </si>
  <si>
    <t>Lát nền, sàn gạch ceramic 60x60 dài 5,0m; rộng 1,65m</t>
  </si>
  <si>
    <t xml:space="preserve"> Đắp phào kép vữa XM M75</t>
  </si>
  <si>
    <t>16-24</t>
  </si>
  <si>
    <t>Lát gạch đỏ 30x30 bậc lên xuống dài 5,5m; rộng 1,2m</t>
  </si>
  <si>
    <t xml:space="preserve">Ốp chân tường gạch 20x30 phía ngoài </t>
  </si>
  <si>
    <t>Quét sơn ngoài nhà</t>
  </si>
  <si>
    <t>Trên mái</t>
  </si>
  <si>
    <t xml:space="preserve"> Tường xây gạch chỉ 110, dài 17,5m; cao 0,5m</t>
  </si>
  <si>
    <t>Trụ xây trụ gạch chỉ kt 0,25x0,25x0,8m x 9 trụ</t>
  </si>
  <si>
    <t>Lắp đặt bể chứa nước</t>
  </si>
  <si>
    <t>bể</t>
  </si>
  <si>
    <t>Mi cửa</t>
  </si>
  <si>
    <t>Mi BTCT dài 1,65m; rộng 0,55m; dày 0,1m x 3 mi</t>
  </si>
  <si>
    <t xml:space="preserve">+ Trát </t>
  </si>
  <si>
    <t>Mi BTCT dài 1,7m; rộng 0,85m; dày 0,1m x 2 mi</t>
  </si>
  <si>
    <t>+ Lợp ngói Hạ Long</t>
  </si>
  <si>
    <t>Lán tôn trước nhà</t>
  </si>
  <si>
    <t>Mái tôn xốp kết cấu khung thép hộp 4x8 dài 6,1m; rộng 4,4m</t>
  </si>
  <si>
    <t>Rèm tôn khung thép hộp 4x8</t>
  </si>
  <si>
    <t>Nền lát gạch ceramic 50x50 dài 6,1m; rộng 4,4m</t>
  </si>
  <si>
    <t>Lán tôn sau nhà</t>
  </si>
  <si>
    <t>Mái tôn kết cấu khung thép hộp 4x8 dài 8,7m; rộng 2,0m</t>
  </si>
  <si>
    <t>Hàng rào song thép vuông phi 10 dài 12,7m; cao 2,15m</t>
  </si>
  <si>
    <t>Cổng khung thép hộp 2x4 nan sắt vuông phi 10, rộng 1,5m; cao 2,0m</t>
  </si>
  <si>
    <t>Nhựa ốp hàng rào dài 4,0m; cao 2,25m</t>
  </si>
  <si>
    <t>Tường xây gạch chỉ 220, có trát dài 12,7m; cao 1,45m</t>
  </si>
  <si>
    <t>Nền bê tông M200 dài 8,7m; rộng 1,8m</t>
  </si>
  <si>
    <t>+ Lát gạch 40x40 bậc lên xuống</t>
  </si>
  <si>
    <t>Bậc lên xuống xây gạch chỉ dài 1,6m; rộng 0,4m; cao 0,2m x 2 bậc</t>
  </si>
  <si>
    <t>Bậc lên xuống xây gạch chỉ dài 1,25m; rộng 0,35m; cao 0,2m x 2 bậc</t>
  </si>
  <si>
    <t>+ Trát bậc</t>
  </si>
  <si>
    <t>Tường giáp ruộng phía Đông xây gạch chỉ 220, dài 8,3m; cao 1,5m</t>
  </si>
  <si>
    <t>Ốp chân tường gạch 20x25</t>
  </si>
  <si>
    <t>Tường ốp nhựa</t>
  </si>
  <si>
    <t>Cửa chính nhôm kính có ray treo rộng 1,0m; cao 2,1m</t>
  </si>
  <si>
    <t>Cửa sổ nhôm kính rộng 0,9m; cao 1,3m</t>
  </si>
  <si>
    <t>+ Song sắt vuông phi 14</t>
  </si>
  <si>
    <t>Bếp</t>
  </si>
  <si>
    <t>Tài sản phía trước</t>
  </si>
  <si>
    <t>Bằng lăng đkg 8-15cm</t>
  </si>
  <si>
    <t>GLS</t>
  </si>
  <si>
    <t>+ Khuôn bao kép</t>
  </si>
  <si>
    <t>Giá nhựa</t>
  </si>
  <si>
    <t>đồng</t>
  </si>
  <si>
    <t>Hệ thống điện, nước = 6% giá trị tài sản, công trình xây dựng</t>
  </si>
  <si>
    <t>Hệ thống điện = 4% giá trị tài sản, công trình xây dựng</t>
  </si>
  <si>
    <t>IV</t>
  </si>
  <si>
    <t>Hộ</t>
  </si>
  <si>
    <t>V</t>
  </si>
  <si>
    <t>Bồi thường đất nuôi trồng thuỷ sản</t>
  </si>
  <si>
    <t>NTS</t>
  </si>
  <si>
    <t xml:space="preserve">Bồi thường đất ở </t>
  </si>
  <si>
    <t>ONT</t>
  </si>
  <si>
    <t>Đất</t>
  </si>
  <si>
    <t>Cây cối</t>
  </si>
  <si>
    <t>Tài sản</t>
  </si>
  <si>
    <t>Thuê nhà, di chuyển</t>
  </si>
  <si>
    <t>+ Kinh phí hỗ trợ chuyển đổi nghề nghiệp và tìm kiếm việc làm:</t>
  </si>
  <si>
    <t>+ Kinh phí bồi thường cây cối, hoa màu:</t>
  </si>
  <si>
    <t>+ Kinh phí bồi thường tài sản, công trình xây dựng:</t>
  </si>
  <si>
    <t>+ Kinh phí bồi thường chi phí tháo dỡ, di chuyển, lắp đặt tài sản:</t>
  </si>
  <si>
    <t>+ Kinh phí hỗ trợ thuê nhà:</t>
  </si>
  <si>
    <t>+ Kinh phí bồi thường đất:</t>
  </si>
  <si>
    <t>Kinh phí chi tổ chức thực hiện BTHT</t>
  </si>
  <si>
    <t>Tổng cộng</t>
  </si>
  <si>
    <t>+ Kinh phí chi tổ chức thực hiện BTHT</t>
  </si>
  <si>
    <t>HT nghề</t>
  </si>
  <si>
    <t>HT khác</t>
  </si>
  <si>
    <t>+ Kinh phí hỗ trợ khác:</t>
  </si>
  <si>
    <t>TTPTQĐ SỐ 02</t>
  </si>
  <si>
    <t>CHI NHÁNH PTQĐKV TIỀN HẢI</t>
  </si>
  <si>
    <t xml:space="preserve"> + Sản xuất, lắp dựng tháo dỡ ván khuôn cột vuông, chữ nhật</t>
  </si>
  <si>
    <t>17-14</t>
  </si>
  <si>
    <t>Lát nền, sàn gạch ceramic 60x60 dài 3,1m; rộng 1,1m</t>
  </si>
  <si>
    <t>Mặt củng BTCT dài 1,2m; rộng 0,9m; dày 0,1m</t>
  </si>
  <si>
    <t xml:space="preserve">Chuồng lợn xây gạch chỉ tường 220, kết cấu tre, lợp mái Fibro xi măng; dài 6,7m; rộng 3,0m; cao 2,3m. </t>
  </si>
  <si>
    <t xml:space="preserve">Nhà phụ xây gạch chỉ tường 110 bổ trụ, kết cấu thép, lợp mái tôn; dài 4,1m; rộng 1,5m; cao 2,7m. </t>
  </si>
  <si>
    <t>Lát nền, sàn gạch ceramic 60x60 dài 3,9m; rộng 1,3m</t>
  </si>
  <si>
    <t>Trần ốp nhựa có khung xương dài 3,9m; rộng 1,3m</t>
  </si>
  <si>
    <t>Mái tôn xốp kết cấu khung thép hộp 4x8 dài 3,5m; rộng 1,8m</t>
  </si>
  <si>
    <t>Nền lát gạch ceramic 50x50 dài 3,5m; rộng 1,8m</t>
  </si>
  <si>
    <t>Sân bê tông M200 dài 8,7m; rộng 2,5m</t>
  </si>
  <si>
    <t xml:space="preserve"> Tường giáp ruộng xây gạch không nung 110, không trát dài 8,0m; cao 1,0m (Xây dựng năm 2013)</t>
  </si>
  <si>
    <t>1-14</t>
  </si>
  <si>
    <t>4-14</t>
  </si>
  <si>
    <t>45-16</t>
  </si>
  <si>
    <t>40-16</t>
  </si>
  <si>
    <t>158-21</t>
  </si>
  <si>
    <t>87-18</t>
  </si>
  <si>
    <t>46-16</t>
  </si>
  <si>
    <t>57-16</t>
  </si>
  <si>
    <t>74-17</t>
  </si>
  <si>
    <t>95-18</t>
  </si>
  <si>
    <t>177-21</t>
  </si>
  <si>
    <t>2-14</t>
  </si>
  <si>
    <t>13-14</t>
  </si>
  <si>
    <t>81-18</t>
  </si>
  <si>
    <t>58-17</t>
  </si>
  <si>
    <t>110-19</t>
  </si>
  <si>
    <t>14-14</t>
  </si>
  <si>
    <t>22-15</t>
  </si>
  <si>
    <t>17-10</t>
  </si>
  <si>
    <t>21-15</t>
  </si>
  <si>
    <t>23-11</t>
  </si>
  <si>
    <t>28-12</t>
  </si>
  <si>
    <t>32-14</t>
  </si>
  <si>
    <t>30-13</t>
  </si>
  <si>
    <t>43-17</t>
  </si>
  <si>
    <t>20-13</t>
  </si>
  <si>
    <t>28-13</t>
  </si>
  <si>
    <t>25-12</t>
  </si>
  <si>
    <t>11-9</t>
  </si>
  <si>
    <t>47-16</t>
  </si>
  <si>
    <t>60-17</t>
  </si>
  <si>
    <t>76-18</t>
  </si>
  <si>
    <t>97-18</t>
  </si>
  <si>
    <t>59-17</t>
  </si>
  <si>
    <t>113-19</t>
  </si>
  <si>
    <t xml:space="preserve"> + Xây trụ gạch chỉ, h ≤ 6m, VXM50</t>
  </si>
  <si>
    <t>27-12</t>
  </si>
  <si>
    <t>38-16</t>
  </si>
  <si>
    <t>17-13</t>
  </si>
  <si>
    <t>38-15</t>
  </si>
  <si>
    <t>115-11</t>
  </si>
  <si>
    <t>31-14</t>
  </si>
  <si>
    <t>34-14</t>
  </si>
  <si>
    <t>129-20</t>
  </si>
  <si>
    <t>111-19</t>
  </si>
  <si>
    <t>Nền lát gạch đất nung 40x40; dài 6,2m; rộng 3,2m</t>
  </si>
  <si>
    <t>165-21</t>
  </si>
  <si>
    <t>Dừa từ 1 năm đến chưa có quả (áp tương đương cau đkg 15-20cm)</t>
  </si>
  <si>
    <t>Nhãn đkg &gt; 30cm</t>
  </si>
  <si>
    <t>Ổi đkg 20-30cm</t>
  </si>
  <si>
    <t>Chanh đkg 2-7cm</t>
  </si>
  <si>
    <t>Sân bê tông M200 dài 5,5m; rộng 2,1m</t>
  </si>
  <si>
    <t>Táo đkg 12-20cm</t>
  </si>
  <si>
    <t>39.4-17</t>
  </si>
  <si>
    <t>Đào đkg &gt;10cm</t>
  </si>
  <si>
    <t>Bưởi đkg 5-8cm</t>
  </si>
  <si>
    <t>39.1-15</t>
  </si>
  <si>
    <t>3.4-9</t>
  </si>
  <si>
    <t xml:space="preserve">Ớt </t>
  </si>
  <si>
    <t>Nền lát gạch đất nung 40x40</t>
  </si>
  <si>
    <t>144-20</t>
  </si>
  <si>
    <t>48.1-19</t>
  </si>
  <si>
    <t>Nhãn đkg &gt;30cm</t>
  </si>
  <si>
    <t>Chuối khóm cây không có buồng</t>
  </si>
  <si>
    <t>Sắn</t>
  </si>
  <si>
    <t>3.1-9</t>
  </si>
  <si>
    <t>205-23</t>
  </si>
  <si>
    <t>48.2-20</t>
  </si>
  <si>
    <t>Ổi đkg 7-12cm</t>
  </si>
  <si>
    <t>Bưởi đkg 2-5cm</t>
  </si>
  <si>
    <t>2.1-9</t>
  </si>
  <si>
    <t>Bơ đkg 8-12cm</t>
  </si>
  <si>
    <t>Cau đkg 15-20cm</t>
  </si>
  <si>
    <t>Na đkg 7-12cm</t>
  </si>
  <si>
    <t>Nhà chính xây gạch chỉ, mái bằng, tường 220, không gia cố nền móng, có công trình phụ khép kín; dài 13,0m; rộng 7,1m; cao 3,8m. Củng thờ dài 3,1m; rộng 1,1m.</t>
  </si>
  <si>
    <t>28-3</t>
  </si>
  <si>
    <t>109-19</t>
  </si>
  <si>
    <t>162-21</t>
  </si>
  <si>
    <t xml:space="preserve"> Chân củng gạch chỉ 110, dài 4,05m; cao 0,9m</t>
  </si>
  <si>
    <t>108-19</t>
  </si>
  <si>
    <t>229+234-24</t>
  </si>
  <si>
    <t>126-19</t>
  </si>
  <si>
    <t>230+235-24</t>
  </si>
  <si>
    <t>96-18</t>
  </si>
  <si>
    <t>143-20</t>
  </si>
  <si>
    <t>236-24</t>
  </si>
  <si>
    <t>98-18</t>
  </si>
  <si>
    <t>208-23</t>
  </si>
  <si>
    <t>206-23</t>
  </si>
  <si>
    <t>128-20</t>
  </si>
  <si>
    <t>175-21</t>
  </si>
  <si>
    <t>207-23</t>
  </si>
  <si>
    <t>127-19</t>
  </si>
  <si>
    <t>109-10</t>
  </si>
  <si>
    <t>151-20</t>
  </si>
  <si>
    <t>149-20</t>
  </si>
  <si>
    <t>Bồi thường chi phí di chuyển tài sản (Căn cứ Điều 10 QĐ số 01/2026/QĐ-UBND ngày 16/1/2026)</t>
  </si>
  <si>
    <t>Hỗ trợ tiền thuê nhà (Căn cứ Khoản 1 Điều 26 QĐ số 01/2026/QĐ-UBND ngày 16/1/2026)</t>
  </si>
  <si>
    <t>Cây cối, hoa màu, con vật nuôi (Căn cứ QĐ số 149/2025/QĐ-UBND ngày 31/12/2025; Khoản 6 Điều 26 QĐ số 01/2026/QĐ-UBND ngày 16/01/2026)</t>
  </si>
  <si>
    <t>Công trình xây dựng (Căn cứ QĐ số 153/2025/QĐ-UBND ngày 31/12/2025)</t>
  </si>
  <si>
    <t>Cây cối, hoa màu, con vật nuôi (Căn cứ QĐ số 149/2025/QĐ-UBND ngày 31/12/2025)</t>
  </si>
  <si>
    <t>Công trình xây dựng (Công trình xây dựng (Căn cứ QĐ số 153/2025/QĐ-UBND ngày 31/12/2025)</t>
  </si>
  <si>
    <t>32-13</t>
  </si>
  <si>
    <t>Hiên BTCT dài 4,45m; rộng 1,5m. Trụ xây gạch chỉ kt: 0,25x0,25x0,8m x 2 trụ</t>
  </si>
  <si>
    <t>Giằng BTCT dài 7,55m, rộng 0,2m, dày 0,1m</t>
  </si>
  <si>
    <t>Móng hiên xây gạch chỉ giật cấp dài 7,55m, rộng 0,8m, cao 1,0m</t>
  </si>
  <si>
    <t>+ Bê tông móng vữa BT M200</t>
  </si>
  <si>
    <t>+ Xây móng gạch chỉ  vữa XM M50</t>
  </si>
  <si>
    <t xml:space="preserve">Bậc lên xuống xây gạch chỉ </t>
  </si>
  <si>
    <t>Láng granito</t>
  </si>
  <si>
    <t>121-19</t>
  </si>
  <si>
    <t>Bê tông nền M200</t>
  </si>
  <si>
    <t>51-16</t>
  </si>
  <si>
    <t>Hiên BTCT</t>
  </si>
  <si>
    <t>Trụ xây trụ gạch chỉ kt 0,25x0,25x0,8m x 2 trụ</t>
  </si>
  <si>
    <t>Con tiện bê tông</t>
  </si>
  <si>
    <t>Đắp phào kép vữa XM M75</t>
  </si>
  <si>
    <t>Đắp phào đơn vữa XM M75</t>
  </si>
  <si>
    <t>Tường bao hiên xây gạch chỉ 110, dài 7,55m; cao 0,2m</t>
  </si>
  <si>
    <t>Hỗ trợ khác</t>
  </si>
  <si>
    <t xml:space="preserve">Hỗ trợ ổn định đời sống và sản xuất </t>
  </si>
  <si>
    <t>170-21</t>
  </si>
  <si>
    <t>174-21</t>
  </si>
  <si>
    <t>khẩu</t>
  </si>
  <si>
    <t>VI</t>
  </si>
  <si>
    <t>Thưởng</t>
  </si>
  <si>
    <t>+ Kinh phí thưởng</t>
  </si>
  <si>
    <t>Tiền thưởng đất ở tại nông thôn  (Căn cứ Khoản 2 Điều 17 QĐ số 01/2026/QĐ-UBND ngày 16/1/2026)</t>
  </si>
  <si>
    <t>Tiền thưởng đất nông nghiệp  (Căn cứ tại  Khoản 1, Điều 17 Quyết định số 01/2026/QĐ-UBND ngày 16/01/2026)</t>
  </si>
  <si>
    <t>Tiền thưởng đất nông nghiệp  (Căn cứ Khoản 1 Điều 17 QĐ số 01/2026/QĐ-UBND ngày 16/1/2026)</t>
  </si>
  <si>
    <t>Tiền thưởng đất ở tại nông thôn (Căn cứ Khoản 2 Điều 17 QĐ số 01/2026/QĐ-UBND ngày 16/1/2026)</t>
  </si>
  <si>
    <t>Bồi thường, hỗ trợ đất (Căn cứ Nghị quyết số 812/NQ-HĐND ngày 23/12/2025 của HĐND tỉnh Hưng Yên Ban hành Quy định về Bảng giá đất lần đầu để công bố áp dụng từ ngày 01/01/2026 trên địa bàn tỉnh Hưng Yên)</t>
  </si>
  <si>
    <t>Bồi thường, hỗ trợ đất (Căn cứ Nghị quyết số 812/NQ-HĐND ngày 23/12/2025 của HĐND tỉnh Hưng Yên Ban hành Quy định về Bảng giá đất lần đầu để công bố áp dụng từ ngày 01/01/2026 trên địa bàn tỉnh Hưng Yên. Vị trí thửa đất là vị trí 3, cách mép hiện trạng đường xã từ 100-200m)</t>
  </si>
  <si>
    <t>Bồi thường, hỗ trợ đất (Căn cứ Nghị quyết số 812/NQ-HĐND ngày 23/12/2025 của HĐND tỉnh Hưng Yên Ban hành Quy định về Bảng giá đất lần đầu để công bố áp dụng từ ngày 01/01/2026 trên địa bàn tỉnh Hưng Yên.Vị trí thửa đất là vị trí 3, cách mép hiện trạng đường xã từ 100-200m)</t>
  </si>
  <si>
    <t>Bồi thường, hỗ trợ đất (Căn cứ Nghị quyết số 812/NQ-HĐND ngày 23/12/2025 của HĐND tỉnh Hưng Yên Ban hành Quy định về Bảng giá đất lần đầu để công bố áp dụng từ ngày 01/01/2026 trên địa bàn tỉnh Hưng Yên. Vị trí thửa đất là vị trí 3, cách mép hiện trạng đường xã từ 200m trở lên)</t>
  </si>
  <si>
    <t>Bồi thường, hỗ trợ đất (Căn cứ Nghị quyết số 812/NQ-HĐND ngày 23/12/2025 của HĐND tỉnh Hưng Yên Ban hành Quy định về Bảng giá đất lần đầu để công bố áp dụng từ ngày 01/01/2026 trên địa bàn tỉnh Hưng Yên. Vị trí thửa đất là vị trí 1 bị án ngữ bởi kênh, mương có lối đi ra trực tiếp đường)</t>
  </si>
  <si>
    <t>Hộ ông (bà) Lê Thị Tho, Phạm Văn Thành, Phạm Thị Thủy, Phạm Thị Thùy (Thửa đất số 31/14)</t>
  </si>
  <si>
    <t>Hộ ông (bà) Nguyễn Thị Hồng Huế, Ngô Hải Ngọc, Ngô Tiến Mạnh (Thửa đất số 22,23/14)</t>
  </si>
  <si>
    <t>Hộ ông (bà) Phí Văn Phương, Phí Xuân Thế, Phí Thị Ngấn, Phí Thị Ngần, Phí Thị Ngát, Phí Thị Nguyên (Thửa đất số 24/14)</t>
  </si>
  <si>
    <t>Hộ ông (bà) Phạm Văn Rợi, Lê Thị Kình (Thửa đất số 13,14/14)</t>
  </si>
  <si>
    <t>Hộ ông (bà) Lê Thị Mơ, Phạm Trung Hiếu, Phạm Minh Tuấn (Thửa đất số 11,12/14)</t>
  </si>
  <si>
    <t>9/</t>
  </si>
  <si>
    <t>Bồi thường chi phí di chuyển mộ đại quan có chủ chưa cải tiểu thời gian &gt; 5 năm (Căn cứ điểm a2 Khoản 1 Điều 11 QĐ số 01/2026/QĐ-UBND ngày 16/1/2026)</t>
  </si>
  <si>
    <t>Mộ</t>
  </si>
  <si>
    <t>Hộ bà Nguyễn Thị Mượt (Thửa đất số 2/26)</t>
  </si>
  <si>
    <t>Gạo</t>
  </si>
  <si>
    <t>+ Kinh phí hỗ trợ ổn định đời sống và sản xuất:</t>
  </si>
  <si>
    <t>+ Kinh phí di chuyển mộ:</t>
  </si>
  <si>
    <t>Di chuyển mộ</t>
  </si>
  <si>
    <t>BẢNG DỰ THẢO ÁP GIÁ BỒI THƯỜNG, HỖ TRỢ TÀI SẢN, CÔNG TRÌNH XÂY DỰNG
 THỰC HIỆN DỰ ÁN: XÂY DỰNG MỚI TUYẾN ĐƯỜNG TỪ ĐƯỜNG ĐH30, XÃ TÂY PHONG ĐẾN ĐƯỜNG 221A (ĐT.462) XÃ TÂY TIẾN
ĐỊA ĐIỂM: XÃ ÁI QUỐC, TỈNH HƯNG YÊN</t>
  </si>
  <si>
    <t>(Kèm theo phương án số  /PA-CNPTQĐKVTH ngày  tháng năm 2026 của CN Phát triển quỹ đất khu vực TH)</t>
  </si>
  <si>
    <t xml:space="preserve"> DỰ THẢO PHƯƠNG ÁN BỒI THƯỜNG, HỖ TRỢ, TÁI ĐỊNH CƯ KHI NHÀ NƯỚC THU HỒI ĐẤT ĐỂ THỰC HIỆN DỰ ÁN</t>
  </si>
  <si>
    <t xml:space="preserve"> Xây dựng mới tuyến đường từ đường ĐH 30 xã Tây Phong đến đường 221A (ĐT462) xã Tây Tiến </t>
  </si>
  <si>
    <t>Địa điểm: Xã Ái Quốc, tỉnh Hưng Yên</t>
  </si>
  <si>
    <t>(Kèm theo  phương án số          /PA-CNPTQĐKVTH ngày         tháng        năm 2026 của Chi nhánh Phát triển quỹ đất khu vực Tiền Hải)</t>
  </si>
  <si>
    <t>Đơn vị tính: Đồng</t>
  </si>
  <si>
    <t>STT</t>
  </si>
  <si>
    <t>Tờ bản đồ</t>
  </si>
  <si>
    <t>Số TT thửa đất</t>
  </si>
  <si>
    <t>Diện tích (m2)</t>
  </si>
  <si>
    <t>Loại đất</t>
  </si>
  <si>
    <t>Chênh lệch diện tích giữa hiện trạng và GCN</t>
  </si>
  <si>
    <t xml:space="preserve">Họ và tên </t>
  </si>
  <si>
    <t>Địa chỉ thôn</t>
  </si>
  <si>
    <t>Số thứ tự thửa đất</t>
  </si>
  <si>
    <t>Tờ bản đồ số</t>
  </si>
  <si>
    <t>Diện tích thu hồi
(m2)</t>
  </si>
  <si>
    <r>
      <t xml:space="preserve">Giá đất
</t>
    </r>
    <r>
      <rPr>
        <sz val="8"/>
        <rFont val="Times New Roman"/>
        <family val="1"/>
      </rPr>
      <t>(m2)</t>
    </r>
  </si>
  <si>
    <t>Bồi thường, hỗ trợ đất</t>
  </si>
  <si>
    <t xml:space="preserve">HT đào tạo chuyển đổi nghề và tìm kiếm việc làm
</t>
  </si>
  <si>
    <r>
      <t xml:space="preserve">Tiền hỗ trợ khác đối với có nguồn gốc là  đất vườn (CLN) trong cùng thửa đất có nhà ở không được công nhận là đất ở 
</t>
    </r>
    <r>
      <rPr>
        <i/>
        <sz val="6"/>
        <rFont val="Times New Roman"/>
        <family val="1"/>
      </rPr>
      <t>(Tiền hỗ trợ khác =
Tiền BT về đất ở  - Tiền BT, hỗ trợ đối với đất nông nghiệp - 
Tiền sử dụng đất phải nộp khi chuyển mục đích)</t>
    </r>
  </si>
  <si>
    <t>Tiền bồi thường, hỗ trợ cây cối, hoa màu, con vật nuôi</t>
  </si>
  <si>
    <t>Tiền bồi thường, hỗ trợ tài sản công trình xây dựng</t>
  </si>
  <si>
    <t>Tiền bồi thường chi phí di chuyển tài sản</t>
  </si>
  <si>
    <t>Tiền bồi thường chi phí di chuyển mộ</t>
  </si>
  <si>
    <t>Hỗ trợ thuê nhà</t>
  </si>
  <si>
    <t>HT ổn định đời sống và sản xuất
(Số khẩu*30kg gạo/khẩu*17.000đ/kg*
số tháng)</t>
  </si>
  <si>
    <t>Tiền thưởng</t>
  </si>
  <si>
    <t xml:space="preserve">Tổng tiền bồi thường,
 hỗ trợ </t>
  </si>
  <si>
    <t>Ghi chú</t>
  </si>
  <si>
    <t>Số khẩu 
NN được hỗ trợ
(khẩu)</t>
  </si>
  <si>
    <r>
      <t xml:space="preserve">Tỷ lệ thu hồi </t>
    </r>
    <r>
      <rPr>
        <sz val="8"/>
        <color indexed="8"/>
        <rFont val="Times New Roman"/>
        <family val="1"/>
      </rPr>
      <t>(%)</t>
    </r>
  </si>
  <si>
    <t>Số tháng hỗ trợ
(tháng)</t>
  </si>
  <si>
    <t>Thành tiền</t>
  </si>
  <si>
    <t>Tổng diện tích giao</t>
  </si>
  <si>
    <t>Tỷ lệ %</t>
  </si>
  <si>
    <t>Lê Thị Tho, Phạm Văn Thành, Phạm Thị Thủy, Phạm Thị Thùy</t>
  </si>
  <si>
    <t>Diêm Phong</t>
  </si>
  <si>
    <t>Ông Phạm Văn Lệ đã chết, thu hồi đồng sử dụng, biên bản họp gia đình</t>
  </si>
  <si>
    <t>Vũ Hoài Thanh
Nguyễn Thị Sâm</t>
  </si>
  <si>
    <t>An Hạ</t>
  </si>
  <si>
    <t>ONT+CLN</t>
  </si>
  <si>
    <t>Nguyễn Thị Hồng Huế, Ngô Hải Ngọc, Ngô Tiến Mạnh</t>
  </si>
  <si>
    <t xml:space="preserve"> An Hạ</t>
  </si>
  <si>
    <t>Ông Diệu chết thu hồi đồng sử dụng</t>
  </si>
  <si>
    <t>Phạm Văn Hải
Nguyễn Thị Minh Hằng</t>
  </si>
  <si>
    <t>Ngô Văn Chi
Trần Thị Phương</t>
  </si>
  <si>
    <t>Phí Văn Phương, Phí Xuân Thế, Phí Thị Ngấn, Phí Thị Ngần, Phí Thị Ngát, Phí Thị Nguyên</t>
  </si>
  <si>
    <t>Bà Phí Thị Tế đã chết, thu hồi đồng sử dụng, biên bản họp gia đình</t>
  </si>
  <si>
    <t>Phạm Văn Rợi, Lê Thị Kình</t>
  </si>
  <si>
    <t>Không có khẩu ở địa phương</t>
  </si>
  <si>
    <t>Lê Thị Mơ, Phạm Trung Hiếu, Phạm Minh Tuấn</t>
  </si>
  <si>
    <t>Ông Phạm Văn Huynh đã chết, thu hồi đồng sử dụng, biên bản họp gia đình</t>
  </si>
  <si>
    <t>Nguyễn Thị Mượt</t>
  </si>
  <si>
    <t>NTD</t>
  </si>
  <si>
    <t>Kinh phí BT,HT GPMB</t>
  </si>
  <si>
    <t>BIỂU PHƯƠNG ÁN BỒI THƯỜNG, HỖ TRỢ, TÁI ĐỊNH CƯ KHI NHÀ NƯỚC THU HỒI ĐẤT ĐỂ THỰC HIỆN DỰ ÁN</t>
  </si>
  <si>
    <t>(Kèm theo  Quyết định số  1348 /QĐ-UBND ngày 15 tháng 10 năm 2026 của Ủy ban nhân dân xã Ái Quốc)</t>
  </si>
  <si>
    <t>Kinh phí BT, HT GPMB</t>
  </si>
  <si>
    <t>(Kèm theo Tờ trình số  89/QĐ-UBND ngày 12 tháng 10 năm 2026 của Phòng Kinh tế xã Ái Quốc)</t>
  </si>
  <si>
    <r>
      <t xml:space="preserve">Tỷ lệ thu hồi </t>
    </r>
    <r>
      <rPr>
        <sz val="8"/>
        <rFont val="Times New Roman"/>
        <family val="1"/>
      </rPr>
      <t>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</si>
</sst>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_(* #,##0_);_(* \(#,##0\);_(* &quot;-&quot;??_);_(@_)"/>
    <numFmt numFmtId="166" formatCode="_(* #,##0.0_);_(* \(#,##0.0\);_(* &quot;-&quot;??_);_(@_)"/>
    <numFmt numFmtId="167" formatCode="#,##0.0000"/>
    <numFmt numFmtId="168" formatCode="_(* #,##0_);_(* \(#,##0\);_(* &quot;-&quot;?_);_(@_)"/>
    <numFmt numFmtId="169" formatCode="&quot;True&quot;;&quot;True&quot;;&quot;False&quot;"/>
    <numFmt numFmtId="170" formatCode="#,##0.0"/>
    <numFmt numFmtId="171" formatCode="0.0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b/>
      <sz val="10"/>
      <name val="Times New Roman"/>
      <family val="1"/>
    </font>
    <font>
      <i/>
      <sz val="12"/>
      <name val="Times New Roman"/>
      <family val="1"/>
    </font>
    <font>
      <b/>
      <sz val="12"/>
      <color indexed="56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2060"/>
      <name val="Times New Roman"/>
      <family val="1"/>
    </font>
    <font>
      <sz val="12"/>
      <color indexed="8"/>
      <name val="Times New Roman"/>
      <family val="1"/>
      <charset val="163"/>
    </font>
    <font>
      <sz val="12"/>
      <color indexed="8"/>
      <name val="Calibri"/>
      <family val="2"/>
    </font>
    <font>
      <b/>
      <sz val="12"/>
      <color theme="1"/>
      <name val="Times New Roman"/>
      <family val="1"/>
      <charset val="163"/>
    </font>
    <font>
      <b/>
      <sz val="12"/>
      <color theme="1"/>
      <name val="Calibri"/>
      <family val="2"/>
    </font>
    <font>
      <b/>
      <i/>
      <sz val="12"/>
      <color indexed="56"/>
      <name val="Times New Roman"/>
      <family val="1"/>
    </font>
    <font>
      <b/>
      <i/>
      <sz val="12"/>
      <color theme="1"/>
      <name val="Times New Roman"/>
      <family val="1"/>
    </font>
    <font>
      <i/>
      <sz val="11"/>
      <name val="Times New Roman"/>
      <family val="1"/>
    </font>
    <font>
      <i/>
      <sz val="13"/>
      <name val="Times New Roman"/>
      <family val="1"/>
    </font>
    <font>
      <sz val="10"/>
      <color indexed="8"/>
      <name val="Times New Roman"/>
      <family val="1"/>
    </font>
    <font>
      <i/>
      <sz val="10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name val="Calibri"/>
      <family val="2"/>
      <scheme val="minor"/>
    </font>
    <font>
      <b/>
      <sz val="12"/>
      <name val="Times New Roman"/>
      <family val="1"/>
      <charset val="163"/>
    </font>
    <font>
      <b/>
      <sz val="11"/>
      <color theme="1"/>
      <name val="Calibri"/>
      <family val="2"/>
      <charset val="163"/>
      <scheme val="minor"/>
    </font>
    <font>
      <b/>
      <sz val="10"/>
      <color theme="1"/>
      <name val="Calibri"/>
      <family val="2"/>
      <charset val="163"/>
      <scheme val="minor"/>
    </font>
    <font>
      <b/>
      <sz val="13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12"/>
      <color theme="0"/>
      <name val="Times New Roman"/>
      <family val="1"/>
    </font>
    <font>
      <sz val="13"/>
      <color theme="1"/>
      <name val="Times New Roman"/>
      <family val="1"/>
    </font>
    <font>
      <sz val="8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Times New Roman"/>
      <family val="1"/>
    </font>
    <font>
      <sz val="10"/>
      <name val="Arial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b/>
      <sz val="6"/>
      <name val="Times New Roman"/>
      <family val="1"/>
    </font>
    <font>
      <i/>
      <sz val="6"/>
      <name val="Times New Roman"/>
      <family val="1"/>
    </font>
    <font>
      <b/>
      <sz val="7"/>
      <name val="Times New Roman"/>
      <family val="1"/>
    </font>
    <font>
      <sz val="8.5"/>
      <color theme="1"/>
      <name val="Times New Roman"/>
      <family val="1"/>
    </font>
    <font>
      <sz val="8.5"/>
      <color rgb="FFFF0000"/>
      <name val="Times New Roman"/>
      <family val="1"/>
    </font>
    <font>
      <sz val="8.5"/>
      <name val="Times New Roman"/>
      <family val="1"/>
    </font>
    <font>
      <sz val="8"/>
      <color theme="1"/>
      <name val="Times New Roman"/>
      <family val="1"/>
    </font>
    <font>
      <sz val="14"/>
      <color rgb="FFFF0000"/>
      <name val="Times New Roman"/>
      <family val="1"/>
    </font>
    <font>
      <sz val="8"/>
      <color rgb="FFFF0000"/>
      <name val="Times New Roman"/>
      <family val="1"/>
    </font>
    <font>
      <b/>
      <sz val="9"/>
      <name val="Times New Roman"/>
      <family val="1"/>
    </font>
    <font>
      <i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" fillId="0" borderId="0"/>
    <xf numFmtId="0" fontId="2" fillId="0" borderId="0"/>
    <xf numFmtId="169" fontId="2" fillId="0" borderId="0" applyFont="0" applyFill="0" applyBorder="0" applyAlignment="0" applyProtection="0"/>
    <xf numFmtId="0" fontId="2" fillId="0" borderId="0"/>
    <xf numFmtId="0" fontId="44" fillId="0" borderId="0"/>
    <xf numFmtId="0" fontId="2" fillId="0" borderId="0"/>
    <xf numFmtId="164" fontId="2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2" fillId="0" borderId="0"/>
  </cellStyleXfs>
  <cellXfs count="545">
    <xf numFmtId="0" fontId="0" fillId="0" borderId="0" xfId="0"/>
    <xf numFmtId="3" fontId="4" fillId="0" borderId="0" xfId="1" applyNumberFormat="1" applyFont="1" applyFill="1" applyBorder="1" applyAlignment="1">
      <alignment horizontal="right" vertical="center" wrapText="1"/>
    </xf>
    <xf numFmtId="0" fontId="9" fillId="0" borderId="0" xfId="0" applyFont="1"/>
    <xf numFmtId="0" fontId="5" fillId="0" borderId="0" xfId="0" applyFont="1"/>
    <xf numFmtId="0" fontId="11" fillId="0" borderId="0" xfId="0" applyFont="1"/>
    <xf numFmtId="3" fontId="9" fillId="0" borderId="0" xfId="0" applyNumberFormat="1" applyFont="1" applyAlignment="1">
      <alignment horizontal="right"/>
    </xf>
    <xf numFmtId="0" fontId="13" fillId="3" borderId="0" xfId="0" applyFont="1" applyFill="1"/>
    <xf numFmtId="0" fontId="18" fillId="3" borderId="0" xfId="0" applyFont="1" applyFill="1"/>
    <xf numFmtId="0" fontId="21" fillId="3" borderId="0" xfId="0" applyFont="1" applyFill="1"/>
    <xf numFmtId="0" fontId="23" fillId="3" borderId="0" xfId="0" applyFont="1" applyFill="1"/>
    <xf numFmtId="0" fontId="13" fillId="0" borderId="0" xfId="0" applyFont="1"/>
    <xf numFmtId="0" fontId="5" fillId="3" borderId="0" xfId="0" applyFont="1" applyFill="1"/>
    <xf numFmtId="1" fontId="9" fillId="2" borderId="1" xfId="2" applyNumberFormat="1" applyFont="1" applyFill="1" applyBorder="1" applyAlignment="1">
      <alignment horizontal="center" vertical="center" wrapText="1"/>
    </xf>
    <xf numFmtId="3" fontId="5" fillId="2" borderId="1" xfId="2" quotePrefix="1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3" fontId="5" fillId="2" borderId="1" xfId="2" applyNumberFormat="1" applyFont="1" applyFill="1" applyBorder="1" applyAlignment="1">
      <alignment horizontal="right" vertical="center" wrapText="1"/>
    </xf>
    <xf numFmtId="170" fontId="9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/>
    <xf numFmtId="0" fontId="32" fillId="0" borderId="0" xfId="0" applyFont="1"/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3" fontId="10" fillId="2" borderId="1" xfId="2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49" fontId="30" fillId="2" borderId="1" xfId="0" applyNumberFormat="1" applyFont="1" applyFill="1" applyBorder="1" applyAlignment="1">
      <alignment horizontal="center" vertical="center" wrapText="1"/>
    </xf>
    <xf numFmtId="2" fontId="18" fillId="2" borderId="1" xfId="0" applyNumberFormat="1" applyFont="1" applyFill="1" applyBorder="1" applyAlignment="1">
      <alignment horizontal="right" vertical="center" wrapText="1"/>
    </xf>
    <xf numFmtId="3" fontId="18" fillId="2" borderId="1" xfId="2" applyNumberFormat="1" applyFont="1" applyFill="1" applyBorder="1" applyAlignment="1">
      <alignment horizontal="right" vertical="center" wrapText="1"/>
    </xf>
    <xf numFmtId="168" fontId="13" fillId="2" borderId="1" xfId="2" applyNumberFormat="1" applyFont="1" applyFill="1" applyBorder="1" applyAlignment="1">
      <alignment horizontal="right" vertical="center" wrapText="1"/>
    </xf>
    <xf numFmtId="0" fontId="18" fillId="2" borderId="0" xfId="0" applyFont="1" applyFill="1"/>
    <xf numFmtId="1" fontId="9" fillId="2" borderId="1" xfId="0" applyNumberFormat="1" applyFont="1" applyFill="1" applyBorder="1" applyAlignment="1">
      <alignment horizontal="center" vertical="center" wrapText="1"/>
    </xf>
    <xf numFmtId="0" fontId="5" fillId="2" borderId="2" xfId="0" quotePrefix="1" applyFont="1" applyFill="1" applyBorder="1" applyAlignment="1">
      <alignment horizontal="left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10" fillId="2" borderId="1" xfId="0" quotePrefix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right" vertical="center" wrapText="1"/>
    </xf>
    <xf numFmtId="3" fontId="5" fillId="2" borderId="1" xfId="1" applyNumberFormat="1" applyFont="1" applyFill="1" applyBorder="1" applyAlignment="1">
      <alignment horizontal="right" vertical="center" wrapText="1"/>
    </xf>
    <xf numFmtId="165" fontId="5" fillId="2" borderId="1" xfId="1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168" fontId="5" fillId="2" borderId="1" xfId="2" applyNumberFormat="1" applyFont="1" applyFill="1" applyBorder="1" applyAlignment="1">
      <alignment horizontal="right" vertical="center" wrapText="1"/>
    </xf>
    <xf numFmtId="0" fontId="13" fillId="2" borderId="0" xfId="0" applyFont="1" applyFill="1"/>
    <xf numFmtId="1" fontId="26" fillId="2" borderId="1" xfId="2" applyNumberFormat="1" applyFont="1" applyFill="1" applyBorder="1" applyAlignment="1">
      <alignment horizontal="center" vertical="center" wrapText="1"/>
    </xf>
    <xf numFmtId="3" fontId="13" fillId="2" borderId="1" xfId="2" applyNumberFormat="1" applyFont="1" applyFill="1" applyBorder="1" applyAlignment="1">
      <alignment horizontal="left" vertical="center" wrapText="1"/>
    </xf>
    <xf numFmtId="3" fontId="29" fillId="2" borderId="1" xfId="2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7" fillId="2" borderId="7" xfId="0" quotePrefix="1" applyFont="1" applyFill="1" applyBorder="1" applyAlignment="1">
      <alignment horizontal="left" vertical="center" wrapText="1"/>
    </xf>
    <xf numFmtId="49" fontId="31" fillId="2" borderId="7" xfId="0" applyNumberFormat="1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2" fontId="17" fillId="2" borderId="7" xfId="0" applyNumberFormat="1" applyFont="1" applyFill="1" applyBorder="1" applyAlignment="1">
      <alignment horizontal="right" vertical="center" wrapText="1"/>
    </xf>
    <xf numFmtId="3" fontId="17" fillId="2" borderId="7" xfId="2" applyNumberFormat="1" applyFont="1" applyFill="1" applyBorder="1" applyAlignment="1">
      <alignment horizontal="right" vertical="center" wrapText="1"/>
    </xf>
    <xf numFmtId="168" fontId="5" fillId="2" borderId="7" xfId="2" applyNumberFormat="1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quotePrefix="1" applyFont="1" applyFill="1" applyBorder="1" applyAlignment="1">
      <alignment horizontal="left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right" vertical="center" wrapText="1"/>
    </xf>
    <xf numFmtId="3" fontId="5" fillId="2" borderId="7" xfId="2" applyNumberFormat="1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left" vertical="center" wrapText="1"/>
    </xf>
    <xf numFmtId="49" fontId="29" fillId="2" borderId="7" xfId="0" applyNumberFormat="1" applyFont="1" applyFill="1" applyBorder="1" applyAlignment="1">
      <alignment horizontal="center" vertical="center" wrapText="1"/>
    </xf>
    <xf numFmtId="2" fontId="13" fillId="2" borderId="7" xfId="0" applyNumberFormat="1" applyFont="1" applyFill="1" applyBorder="1" applyAlignment="1">
      <alignment horizontal="right" vertical="center" wrapText="1"/>
    </xf>
    <xf numFmtId="3" fontId="13" fillId="2" borderId="7" xfId="2" applyNumberFormat="1" applyFont="1" applyFill="1" applyBorder="1" applyAlignment="1">
      <alignment horizontal="right" vertical="center" wrapText="1"/>
    </xf>
    <xf numFmtId="168" fontId="13" fillId="2" borderId="7" xfId="2" applyNumberFormat="1" applyFont="1" applyFill="1" applyBorder="1" applyAlignment="1">
      <alignment horizontal="right" vertical="center" wrapText="1"/>
    </xf>
    <xf numFmtId="0" fontId="5" fillId="2" borderId="7" xfId="0" applyFont="1" applyFill="1" applyBorder="1" applyAlignment="1">
      <alignment horizontal="left" vertical="center" wrapText="1"/>
    </xf>
    <xf numFmtId="3" fontId="5" fillId="2" borderId="1" xfId="2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49" fontId="29" fillId="2" borderId="1" xfId="0" applyNumberFormat="1" applyFont="1" applyFill="1" applyBorder="1" applyAlignment="1">
      <alignment horizontal="center" vertical="center" wrapText="1"/>
    </xf>
    <xf numFmtId="2" fontId="13" fillId="2" borderId="1" xfId="0" applyNumberFormat="1" applyFont="1" applyFill="1" applyBorder="1" applyAlignment="1">
      <alignment horizontal="right" vertical="center" wrapText="1"/>
    </xf>
    <xf numFmtId="3" fontId="13" fillId="2" borderId="1" xfId="2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49" fontId="12" fillId="2" borderId="1" xfId="1" applyNumberFormat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165" fontId="16" fillId="2" borderId="1" xfId="5" applyNumberFormat="1" applyFont="1" applyFill="1" applyBorder="1" applyAlignment="1">
      <alignment horizontal="center" vertical="center" wrapText="1"/>
    </xf>
    <xf numFmtId="168" fontId="16" fillId="2" borderId="1" xfId="5" applyNumberFormat="1" applyFont="1" applyFill="1" applyBorder="1" applyAlignment="1">
      <alignment horizontal="right" vertical="center" wrapText="1"/>
    </xf>
    <xf numFmtId="0" fontId="15" fillId="2" borderId="1" xfId="4" applyFont="1" applyFill="1" applyBorder="1" applyAlignment="1">
      <alignment horizontal="center" vertical="center" wrapText="1"/>
    </xf>
    <xf numFmtId="0" fontId="15" fillId="2" borderId="1" xfId="4" applyFont="1" applyFill="1" applyBorder="1" applyAlignment="1">
      <alignment horizontal="left" vertical="center" wrapText="1"/>
    </xf>
    <xf numFmtId="0" fontId="28" fillId="2" borderId="1" xfId="4" applyFont="1" applyFill="1" applyBorder="1" applyAlignment="1">
      <alignment horizontal="center" vertical="center" wrapText="1"/>
    </xf>
    <xf numFmtId="171" fontId="15" fillId="2" borderId="1" xfId="4" applyNumberFormat="1" applyFont="1" applyFill="1" applyBorder="1" applyAlignment="1">
      <alignment horizontal="right" vertical="center" wrapText="1"/>
    </xf>
    <xf numFmtId="3" fontId="5" fillId="2" borderId="1" xfId="5" applyNumberFormat="1" applyFont="1" applyFill="1" applyBorder="1" applyAlignment="1">
      <alignment horizontal="right" vertical="center" wrapText="1"/>
    </xf>
    <xf numFmtId="171" fontId="15" fillId="2" borderId="1" xfId="4" applyNumberFormat="1" applyFont="1" applyFill="1" applyBorder="1" applyAlignment="1">
      <alignment horizontal="center" vertical="center" wrapText="1"/>
    </xf>
    <xf numFmtId="168" fontId="15" fillId="2" borderId="1" xfId="5" applyNumberFormat="1" applyFont="1" applyFill="1" applyBorder="1" applyAlignment="1">
      <alignment horizontal="right" vertical="center" wrapText="1"/>
    </xf>
    <xf numFmtId="0" fontId="15" fillId="2" borderId="1" xfId="4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left" vertical="center" wrapText="1"/>
    </xf>
    <xf numFmtId="49" fontId="5" fillId="2" borderId="1" xfId="2" quotePrefix="1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70" fontId="5" fillId="2" borderId="1" xfId="0" applyNumberFormat="1" applyFont="1" applyFill="1" applyBorder="1" applyAlignment="1">
      <alignment horizontal="right" vertical="center" wrapText="1"/>
    </xf>
    <xf numFmtId="1" fontId="8" fillId="2" borderId="1" xfId="2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15" fillId="2" borderId="1" xfId="2" applyNumberFormat="1" applyFont="1" applyFill="1" applyBorder="1" applyAlignment="1">
      <alignment vertical="center" wrapText="1"/>
    </xf>
    <xf numFmtId="0" fontId="5" fillId="2" borderId="1" xfId="3" applyFont="1" applyFill="1" applyBorder="1" applyAlignment="1">
      <alignment horizontal="left" vertical="center" wrapText="1"/>
    </xf>
    <xf numFmtId="0" fontId="5" fillId="2" borderId="1" xfId="3" quotePrefix="1" applyFont="1" applyFill="1" applyBorder="1" applyAlignment="1">
      <alignment horizontal="left" vertical="center" wrapText="1"/>
    </xf>
    <xf numFmtId="1" fontId="26" fillId="2" borderId="1" xfId="0" applyNumberFormat="1" applyFont="1" applyFill="1" applyBorder="1" applyAlignment="1">
      <alignment horizontal="center" vertical="center" wrapText="1"/>
    </xf>
    <xf numFmtId="4" fontId="26" fillId="2" borderId="1" xfId="0" applyNumberFormat="1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right" vertical="center" wrapText="1"/>
    </xf>
    <xf numFmtId="0" fontId="5" fillId="2" borderId="2" xfId="3" applyFont="1" applyFill="1" applyBorder="1" applyAlignment="1">
      <alignment horizontal="left" vertical="center" wrapText="1"/>
    </xf>
    <xf numFmtId="170" fontId="26" fillId="2" borderId="1" xfId="0" applyNumberFormat="1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left" vertical="center" wrapText="1"/>
    </xf>
    <xf numFmtId="49" fontId="15" fillId="2" borderId="7" xfId="2" applyNumberFormat="1" applyFont="1" applyFill="1" applyBorder="1" applyAlignment="1">
      <alignment vertical="center" wrapText="1"/>
    </xf>
    <xf numFmtId="49" fontId="10" fillId="2" borderId="1" xfId="2" quotePrefix="1" applyNumberFormat="1" applyFont="1" applyFill="1" applyBorder="1" applyAlignment="1">
      <alignment horizontal="center" vertical="center" wrapText="1"/>
    </xf>
    <xf numFmtId="171" fontId="26" fillId="2" borderId="1" xfId="3" applyNumberFormat="1" applyFont="1" applyFill="1" applyBorder="1" applyAlignment="1">
      <alignment horizontal="center" vertical="center" wrapText="1"/>
    </xf>
    <xf numFmtId="165" fontId="13" fillId="2" borderId="1" xfId="1" applyNumberFormat="1" applyFont="1" applyFill="1" applyBorder="1" applyAlignment="1">
      <alignment horizontal="right" vertical="center" wrapText="1"/>
    </xf>
    <xf numFmtId="3" fontId="10" fillId="2" borderId="1" xfId="2" quotePrefix="1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13" fillId="2" borderId="1" xfId="0" quotePrefix="1" applyFont="1" applyFill="1" applyBorder="1" applyAlignment="1">
      <alignment horizontal="left" vertical="center" wrapText="1"/>
    </xf>
    <xf numFmtId="49" fontId="29" fillId="2" borderId="1" xfId="2" applyNumberFormat="1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right" vertical="center" wrapText="1"/>
    </xf>
    <xf numFmtId="49" fontId="12" fillId="2" borderId="1" xfId="2" quotePrefix="1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3" fontId="8" fillId="2" borderId="1" xfId="2" applyNumberFormat="1" applyFont="1" applyFill="1" applyBorder="1" applyAlignment="1">
      <alignment horizontal="right" vertical="center" wrapText="1"/>
    </xf>
    <xf numFmtId="168" fontId="4" fillId="2" borderId="1" xfId="1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/>
    </xf>
    <xf numFmtId="1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center" vertical="center"/>
    </xf>
    <xf numFmtId="0" fontId="34" fillId="2" borderId="1" xfId="0" applyFont="1" applyFill="1" applyBorder="1"/>
    <xf numFmtId="0" fontId="34" fillId="2" borderId="1" xfId="0" applyFont="1" applyFill="1" applyBorder="1" applyAlignment="1">
      <alignment horizontal="right"/>
    </xf>
    <xf numFmtId="3" fontId="4" fillId="2" borderId="1" xfId="2" applyNumberFormat="1" applyFont="1" applyFill="1" applyBorder="1" applyAlignment="1">
      <alignment horizontal="right" vertical="center" wrapText="1"/>
    </xf>
    <xf numFmtId="168" fontId="4" fillId="2" borderId="1" xfId="1" applyNumberFormat="1" applyFont="1" applyFill="1" applyBorder="1" applyAlignment="1">
      <alignment vertical="center" wrapText="1"/>
    </xf>
    <xf numFmtId="168" fontId="5" fillId="2" borderId="1" xfId="1" applyNumberFormat="1" applyFont="1" applyFill="1" applyBorder="1" applyAlignment="1">
      <alignment horizontal="right" vertical="center" wrapText="1"/>
    </xf>
    <xf numFmtId="1" fontId="9" fillId="2" borderId="0" xfId="0" applyNumberFormat="1" applyFont="1" applyFill="1" applyAlignment="1">
      <alignment horizontal="center"/>
    </xf>
    <xf numFmtId="0" fontId="9" fillId="2" borderId="0" xfId="0" applyFont="1" applyFill="1"/>
    <xf numFmtId="49" fontId="10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4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center"/>
    </xf>
    <xf numFmtId="0" fontId="5" fillId="2" borderId="0" xfId="0" quotePrefix="1" applyFont="1" applyFill="1" applyAlignment="1">
      <alignment horizontal="left" vertical="center" wrapText="1"/>
    </xf>
    <xf numFmtId="165" fontId="5" fillId="2" borderId="0" xfId="1" applyNumberFormat="1" applyFont="1" applyFill="1" applyBorder="1" applyAlignment="1">
      <alignment horizontal="right" vertical="center" wrapText="1"/>
    </xf>
    <xf numFmtId="3" fontId="9" fillId="2" borderId="1" xfId="2" applyNumberFormat="1" applyFont="1" applyFill="1" applyBorder="1" applyAlignment="1">
      <alignment horizontal="right" vertical="center" wrapText="1"/>
    </xf>
    <xf numFmtId="0" fontId="36" fillId="2" borderId="0" xfId="0" applyFont="1" applyFill="1" applyAlignment="1">
      <alignment horizontal="center" vertical="center"/>
    </xf>
    <xf numFmtId="1" fontId="37" fillId="2" borderId="0" xfId="0" applyNumberFormat="1" applyFont="1" applyFill="1" applyAlignment="1">
      <alignment horizontal="center" vertical="center"/>
    </xf>
    <xf numFmtId="49" fontId="38" fillId="2" borderId="0" xfId="0" applyNumberFormat="1" applyFont="1" applyFill="1" applyAlignment="1">
      <alignment horizontal="center" vertical="center"/>
    </xf>
    <xf numFmtId="4" fontId="36" fillId="2" borderId="0" xfId="0" applyNumberFormat="1" applyFont="1" applyFill="1" applyAlignment="1">
      <alignment horizontal="right" vertical="center"/>
    </xf>
    <xf numFmtId="0" fontId="36" fillId="2" borderId="0" xfId="0" applyFont="1" applyFill="1" applyAlignment="1">
      <alignment horizontal="right" vertical="center"/>
    </xf>
    <xf numFmtId="4" fontId="37" fillId="2" borderId="0" xfId="0" applyNumberFormat="1" applyFont="1" applyFill="1" applyAlignment="1">
      <alignment horizontal="center" vertical="center"/>
    </xf>
    <xf numFmtId="0" fontId="36" fillId="2" borderId="0" xfId="0" applyFont="1" applyFill="1" applyAlignment="1">
      <alignment vertical="center"/>
    </xf>
    <xf numFmtId="0" fontId="39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2" borderId="1" xfId="0" quotePrefix="1" applyFont="1" applyFill="1" applyBorder="1" applyAlignment="1">
      <alignment horizontal="left" vertical="center" wrapText="1"/>
    </xf>
    <xf numFmtId="49" fontId="12" fillId="2" borderId="1" xfId="2" applyNumberFormat="1" applyFont="1" applyFill="1" applyBorder="1" applyAlignment="1">
      <alignment horizontal="center" vertical="center" wrapText="1"/>
    </xf>
    <xf numFmtId="170" fontId="8" fillId="2" borderId="1" xfId="0" applyNumberFormat="1" applyFont="1" applyFill="1" applyBorder="1" applyAlignment="1">
      <alignment horizontal="center" vertical="center" wrapText="1"/>
    </xf>
    <xf numFmtId="3" fontId="4" fillId="5" borderId="0" xfId="0" applyNumberFormat="1" applyFont="1" applyFill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16" fillId="3" borderId="0" xfId="0" applyNumberFormat="1" applyFont="1" applyFill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165" fontId="14" fillId="3" borderId="0" xfId="0" applyNumberFormat="1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5" fontId="24" fillId="3" borderId="0" xfId="0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165" fontId="2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165" fontId="25" fillId="2" borderId="0" xfId="0" applyNumberFormat="1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5" fontId="5" fillId="2" borderId="0" xfId="0" applyNumberFormat="1" applyFont="1" applyFill="1" applyAlignment="1">
      <alignment horizontal="center" vertical="center"/>
    </xf>
    <xf numFmtId="165" fontId="14" fillId="2" borderId="0" xfId="0" applyNumberFormat="1" applyFont="1" applyFill="1" applyAlignment="1">
      <alignment horizontal="center" vertical="center" wrapText="1"/>
    </xf>
    <xf numFmtId="3" fontId="13" fillId="2" borderId="0" xfId="0" applyNumberFormat="1" applyFont="1" applyFill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3" fontId="17" fillId="3" borderId="6" xfId="0" applyNumberFormat="1" applyFont="1" applyFill="1" applyBorder="1" applyAlignment="1">
      <alignment horizontal="center" vertical="center"/>
    </xf>
    <xf numFmtId="165" fontId="16" fillId="2" borderId="0" xfId="0" applyNumberFormat="1" applyFont="1" applyFill="1" applyAlignment="1">
      <alignment horizontal="center" vertical="center" wrapText="1"/>
    </xf>
    <xf numFmtId="165" fontId="25" fillId="3" borderId="0" xfId="0" applyNumberFormat="1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70" fontId="5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3" fontId="9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22" fillId="3" borderId="6" xfId="0" applyNumberFormat="1" applyFont="1" applyFill="1" applyBorder="1" applyAlignment="1">
      <alignment horizontal="center" vertical="center"/>
    </xf>
    <xf numFmtId="168" fontId="16" fillId="4" borderId="6" xfId="0" applyNumberFormat="1" applyFont="1" applyFill="1" applyBorder="1" applyAlignment="1">
      <alignment horizontal="center" vertical="center"/>
    </xf>
    <xf numFmtId="3" fontId="20" fillId="3" borderId="6" xfId="0" applyNumberFormat="1" applyFont="1" applyFill="1" applyBorder="1" applyAlignment="1">
      <alignment horizontal="center" vertical="center"/>
    </xf>
    <xf numFmtId="3" fontId="15" fillId="3" borderId="6" xfId="0" applyNumberFormat="1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3" fontId="20" fillId="3" borderId="11" xfId="0" applyNumberFormat="1" applyFont="1" applyFill="1" applyBorder="1" applyAlignment="1">
      <alignment horizontal="center" vertical="center"/>
    </xf>
    <xf numFmtId="170" fontId="15" fillId="3" borderId="11" xfId="0" applyNumberFormat="1" applyFont="1" applyFill="1" applyBorder="1" applyAlignment="1">
      <alignment horizontal="center" vertical="center"/>
    </xf>
    <xf numFmtId="3" fontId="15" fillId="3" borderId="11" xfId="0" applyNumberFormat="1" applyFont="1" applyFill="1" applyBorder="1" applyAlignment="1">
      <alignment horizontal="center" vertical="center"/>
    </xf>
    <xf numFmtId="3" fontId="20" fillId="3" borderId="1" xfId="0" applyNumberFormat="1" applyFont="1" applyFill="1" applyBorder="1" applyAlignment="1">
      <alignment horizontal="center" vertical="center"/>
    </xf>
    <xf numFmtId="3" fontId="15" fillId="3" borderId="1" xfId="0" applyNumberFormat="1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3" fontId="11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3" fontId="13" fillId="3" borderId="5" xfId="0" applyNumberFormat="1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3" fontId="13" fillId="3" borderId="0" xfId="0" applyNumberFormat="1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3" fontId="13" fillId="2" borderId="5" xfId="0" applyNumberFormat="1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3" fontId="18" fillId="2" borderId="5" xfId="0" applyNumberFormat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3" fontId="27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15" fillId="6" borderId="6" xfId="0" applyNumberFormat="1" applyFont="1" applyFill="1" applyBorder="1" applyAlignment="1">
      <alignment horizontal="center" vertical="center"/>
    </xf>
    <xf numFmtId="3" fontId="27" fillId="2" borderId="0" xfId="0" applyNumberFormat="1" applyFont="1" applyFill="1" applyAlignment="1">
      <alignment horizontal="center" vertical="center"/>
    </xf>
    <xf numFmtId="3" fontId="7" fillId="2" borderId="0" xfId="0" applyNumberFormat="1" applyFont="1" applyFill="1" applyAlignment="1">
      <alignment horizontal="center" vertical="center"/>
    </xf>
    <xf numFmtId="3" fontId="18" fillId="3" borderId="5" xfId="0" applyNumberFormat="1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165" fontId="19" fillId="2" borderId="0" xfId="2" applyNumberFormat="1" applyFont="1" applyFill="1" applyBorder="1" applyAlignment="1">
      <alignment horizontal="right" vertical="center" wrapText="1"/>
    </xf>
    <xf numFmtId="3" fontId="4" fillId="6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17" fillId="2" borderId="0" xfId="0" applyFont="1" applyFill="1" applyAlignment="1">
      <alignment vertical="center"/>
    </xf>
    <xf numFmtId="3" fontId="20" fillId="2" borderId="0" xfId="0" applyNumberFormat="1" applyFont="1" applyFill="1" applyAlignment="1">
      <alignment horizontal="center" vertical="center"/>
    </xf>
    <xf numFmtId="3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0" xfId="0" applyFont="1" applyFill="1"/>
    <xf numFmtId="3" fontId="20" fillId="2" borderId="6" xfId="0" applyNumberFormat="1" applyFont="1" applyFill="1" applyBorder="1" applyAlignment="1">
      <alignment horizontal="center" vertical="center"/>
    </xf>
    <xf numFmtId="3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71" fontId="9" fillId="2" borderId="1" xfId="3" applyNumberFormat="1" applyFont="1" applyFill="1" applyBorder="1" applyAlignment="1">
      <alignment horizontal="center" vertical="center" wrapText="1"/>
    </xf>
    <xf numFmtId="3" fontId="9" fillId="2" borderId="1" xfId="2" applyNumberFormat="1" applyFont="1" applyFill="1" applyBorder="1" applyAlignment="1">
      <alignment horizontal="left" vertical="center" wrapText="1"/>
    </xf>
    <xf numFmtId="4" fontId="8" fillId="2" borderId="1" xfId="1" applyNumberFormat="1" applyFont="1" applyFill="1" applyBorder="1" applyAlignment="1">
      <alignment horizontal="center" vertical="center" wrapText="1"/>
    </xf>
    <xf numFmtId="171" fontId="42" fillId="2" borderId="1" xfId="4" applyNumberFormat="1" applyFont="1" applyFill="1" applyBorder="1" applyAlignment="1">
      <alignment horizontal="center" vertical="center" wrapText="1"/>
    </xf>
    <xf numFmtId="171" fontId="43" fillId="2" borderId="1" xfId="4" applyNumberFormat="1" applyFont="1" applyFill="1" applyBorder="1" applyAlignment="1">
      <alignment horizontal="center" vertical="center" wrapText="1"/>
    </xf>
    <xf numFmtId="170" fontId="26" fillId="2" borderId="1" xfId="1" applyNumberFormat="1" applyFont="1" applyFill="1" applyBorder="1" applyAlignment="1">
      <alignment horizontal="center" vertical="center" wrapText="1"/>
    </xf>
    <xf numFmtId="170" fontId="9" fillId="2" borderId="1" xfId="1" applyNumberFormat="1" applyFont="1" applyFill="1" applyBorder="1" applyAlignment="1">
      <alignment horizontal="center" vertical="center" wrapText="1"/>
    </xf>
    <xf numFmtId="171" fontId="26" fillId="2" borderId="7" xfId="3" applyNumberFormat="1" applyFont="1" applyFill="1" applyBorder="1" applyAlignment="1">
      <alignment horizontal="center" vertical="center" wrapText="1"/>
    </xf>
    <xf numFmtId="171" fontId="9" fillId="2" borderId="7" xfId="3" applyNumberFormat="1" applyFont="1" applyFill="1" applyBorder="1" applyAlignment="1">
      <alignment horizontal="center" vertical="center" wrapText="1"/>
    </xf>
    <xf numFmtId="0" fontId="9" fillId="2" borderId="0" xfId="0" quotePrefix="1" applyFont="1" applyFill="1" applyAlignment="1">
      <alignment horizontal="left" vertical="center" wrapText="1"/>
    </xf>
    <xf numFmtId="0" fontId="45" fillId="0" borderId="0" xfId="7" applyFont="1" applyAlignment="1">
      <alignment horizontal="center" wrapText="1"/>
    </xf>
    <xf numFmtId="3" fontId="45" fillId="0" borderId="0" xfId="7" applyNumberFormat="1" applyFont="1" applyAlignment="1">
      <alignment horizontal="right" wrapText="1"/>
    </xf>
    <xf numFmtId="170" fontId="46" fillId="0" borderId="0" xfId="7" applyNumberFormat="1" applyFont="1"/>
    <xf numFmtId="3" fontId="46" fillId="0" borderId="0" xfId="7" applyNumberFormat="1" applyFont="1"/>
    <xf numFmtId="0" fontId="40" fillId="0" borderId="0" xfId="7" applyFont="1"/>
    <xf numFmtId="0" fontId="5" fillId="2" borderId="0" xfId="8" applyFont="1" applyFill="1" applyAlignment="1">
      <alignment horizontal="center" vertical="center"/>
    </xf>
    <xf numFmtId="0" fontId="5" fillId="2" borderId="0" xfId="7" applyFont="1" applyFill="1" applyAlignment="1">
      <alignment horizontal="center" vertical="center"/>
    </xf>
    <xf numFmtId="0" fontId="47" fillId="2" borderId="0" xfId="7" applyFont="1" applyFill="1" applyAlignment="1">
      <alignment horizontal="center" vertical="center" wrapText="1"/>
    </xf>
    <xf numFmtId="3" fontId="47" fillId="2" borderId="0" xfId="7" applyNumberFormat="1" applyFont="1" applyFill="1" applyAlignment="1">
      <alignment horizontal="right" vertical="center" wrapText="1"/>
    </xf>
    <xf numFmtId="170" fontId="48" fillId="2" borderId="0" xfId="8" applyNumberFormat="1" applyFont="1" applyFill="1" applyAlignment="1">
      <alignment horizontal="center" vertical="center"/>
    </xf>
    <xf numFmtId="3" fontId="48" fillId="2" borderId="0" xfId="8" applyNumberFormat="1" applyFont="1" applyFill="1" applyAlignment="1">
      <alignment horizontal="center" vertical="center"/>
    </xf>
    <xf numFmtId="0" fontId="47" fillId="2" borderId="0" xfId="7" applyFont="1" applyFill="1" applyAlignment="1">
      <alignment horizontal="center" vertical="center"/>
    </xf>
    <xf numFmtId="3" fontId="47" fillId="2" borderId="0" xfId="7" applyNumberFormat="1" applyFont="1" applyFill="1" applyAlignment="1">
      <alignment horizontal="right" vertical="center"/>
    </xf>
    <xf numFmtId="164" fontId="49" fillId="0" borderId="0" xfId="9" applyFont="1" applyBorder="1" applyAlignment="1">
      <alignment horizontal="center"/>
    </xf>
    <xf numFmtId="3" fontId="50" fillId="0" borderId="0" xfId="9" applyNumberFormat="1" applyFont="1" applyBorder="1" applyAlignment="1">
      <alignment horizontal="right"/>
    </xf>
    <xf numFmtId="164" fontId="50" fillId="0" borderId="0" xfId="9" applyFont="1" applyBorder="1" applyAlignment="1">
      <alignment horizontal="center"/>
    </xf>
    <xf numFmtId="164" fontId="30" fillId="0" borderId="0" xfId="9" applyFont="1" applyBorder="1" applyAlignment="1">
      <alignment horizontal="center"/>
    </xf>
    <xf numFmtId="164" fontId="30" fillId="0" borderId="0" xfId="9" applyFont="1" applyBorder="1" applyAlignment="1">
      <alignment horizontal="right"/>
    </xf>
    <xf numFmtId="164" fontId="30" fillId="0" borderId="0" xfId="9" applyFont="1" applyFill="1" applyBorder="1" applyAlignment="1">
      <alignment horizontal="center"/>
    </xf>
    <xf numFmtId="164" fontId="30" fillId="0" borderId="0" xfId="9" applyFont="1" applyBorder="1" applyAlignment="1"/>
    <xf numFmtId="0" fontId="51" fillId="2" borderId="1" xfId="10" applyFont="1" applyFill="1" applyBorder="1" applyAlignment="1">
      <alignment horizontal="center" vertical="center"/>
    </xf>
    <xf numFmtId="0" fontId="51" fillId="2" borderId="1" xfId="10" applyFont="1" applyFill="1" applyBorder="1" applyAlignment="1">
      <alignment horizontal="center" vertical="center" wrapText="1"/>
    </xf>
    <xf numFmtId="171" fontId="51" fillId="2" borderId="1" xfId="10" applyNumberFormat="1" applyFont="1" applyFill="1" applyBorder="1" applyAlignment="1">
      <alignment horizontal="center" vertical="center" wrapText="1"/>
    </xf>
    <xf numFmtId="171" fontId="51" fillId="2" borderId="1" xfId="10" applyNumberFormat="1" applyFont="1" applyFill="1" applyBorder="1" applyAlignment="1">
      <alignment vertical="center" wrapText="1"/>
    </xf>
    <xf numFmtId="171" fontId="51" fillId="2" borderId="1" xfId="10" applyNumberFormat="1" applyFont="1" applyFill="1" applyBorder="1" applyAlignment="1">
      <alignment horizontal="center" vertical="center" wrapText="1"/>
    </xf>
    <xf numFmtId="171" fontId="56" fillId="2" borderId="0" xfId="10" applyNumberFormat="1" applyFont="1" applyFill="1" applyAlignment="1">
      <alignment horizontal="center" vertical="center" wrapText="1"/>
    </xf>
    <xf numFmtId="3" fontId="47" fillId="2" borderId="0" xfId="10" applyNumberFormat="1" applyFont="1" applyFill="1" applyAlignment="1">
      <alignment horizontal="right" vertical="center" wrapText="1"/>
    </xf>
    <xf numFmtId="171" fontId="47" fillId="2" borderId="0" xfId="10" applyNumberFormat="1" applyFont="1" applyFill="1" applyAlignment="1">
      <alignment horizontal="center" vertical="center" wrapText="1"/>
    </xf>
    <xf numFmtId="170" fontId="47" fillId="2" borderId="0" xfId="8" applyNumberFormat="1" applyFont="1" applyFill="1" applyAlignment="1">
      <alignment horizontal="center"/>
    </xf>
    <xf numFmtId="3" fontId="47" fillId="2" borderId="0" xfId="8" applyNumberFormat="1" applyFont="1" applyFill="1" applyAlignment="1">
      <alignment horizontal="center"/>
    </xf>
    <xf numFmtId="0" fontId="51" fillId="2" borderId="0" xfId="8" applyFont="1" applyFill="1" applyAlignment="1">
      <alignment horizontal="center"/>
    </xf>
    <xf numFmtId="0" fontId="51" fillId="2" borderId="0" xfId="7" applyFont="1" applyFill="1" applyAlignment="1">
      <alignment horizontal="center"/>
    </xf>
    <xf numFmtId="0" fontId="52" fillId="2" borderId="1" xfId="7" applyFont="1" applyFill="1" applyBorder="1" applyAlignment="1">
      <alignment horizontal="center"/>
    </xf>
    <xf numFmtId="2" fontId="53" fillId="0" borderId="1" xfId="11" applyNumberFormat="1" applyFont="1" applyFill="1" applyBorder="1" applyAlignment="1">
      <alignment horizontal="center" vertical="center" wrapText="1"/>
    </xf>
    <xf numFmtId="166" fontId="53" fillId="0" borderId="1" xfId="11" applyNumberFormat="1" applyFont="1" applyFill="1" applyBorder="1" applyAlignment="1">
      <alignment horizontal="center" vertical="center" wrapText="1"/>
    </xf>
    <xf numFmtId="171" fontId="47" fillId="2" borderId="0" xfId="10" applyNumberFormat="1" applyFont="1" applyFill="1" applyAlignment="1">
      <alignment horizontal="right" vertical="center" wrapText="1"/>
    </xf>
    <xf numFmtId="3" fontId="47" fillId="2" borderId="0" xfId="10" applyNumberFormat="1" applyFont="1" applyFill="1" applyAlignment="1">
      <alignment horizontal="center" vertical="center" wrapText="1"/>
    </xf>
    <xf numFmtId="0" fontId="52" fillId="2" borderId="0" xfId="8" applyFont="1" applyFill="1" applyAlignment="1">
      <alignment horizontal="center"/>
    </xf>
    <xf numFmtId="0" fontId="52" fillId="2" borderId="0" xfId="7" applyFont="1" applyFill="1" applyAlignment="1">
      <alignment horizontal="center"/>
    </xf>
    <xf numFmtId="0" fontId="57" fillId="0" borderId="1" xfId="7" applyFont="1" applyBorder="1" applyAlignment="1">
      <alignment horizontal="center" vertical="center"/>
    </xf>
    <xf numFmtId="0" fontId="57" fillId="0" borderId="1" xfId="12" applyFont="1" applyBorder="1" applyAlignment="1">
      <alignment horizontal="center" vertical="center"/>
    </xf>
    <xf numFmtId="0" fontId="57" fillId="0" borderId="1" xfId="12" applyFont="1" applyBorder="1" applyAlignment="1">
      <alignment horizontal="center" vertical="center" wrapText="1"/>
    </xf>
    <xf numFmtId="171" fontId="57" fillId="0" borderId="1" xfId="12" applyNumberFormat="1" applyFont="1" applyBorder="1" applyAlignment="1">
      <alignment horizontal="right" vertical="center" wrapText="1"/>
    </xf>
    <xf numFmtId="1" fontId="58" fillId="0" borderId="1" xfId="12" applyNumberFormat="1" applyFont="1" applyBorder="1" applyAlignment="1">
      <alignment horizontal="right" vertical="center" wrapText="1"/>
    </xf>
    <xf numFmtId="0" fontId="57" fillId="2" borderId="1" xfId="12" applyFont="1" applyFill="1" applyBorder="1" applyAlignment="1">
      <alignment horizontal="left" vertical="center" wrapText="1"/>
    </xf>
    <xf numFmtId="0" fontId="57" fillId="2" borderId="1" xfId="12" applyFont="1" applyFill="1" applyBorder="1" applyAlignment="1">
      <alignment horizontal="center" vertical="center" wrapText="1"/>
    </xf>
    <xf numFmtId="171" fontId="58" fillId="2" borderId="1" xfId="12" applyNumberFormat="1" applyFont="1" applyFill="1" applyBorder="1" applyAlignment="1">
      <alignment horizontal="right" vertical="center" wrapText="1"/>
    </xf>
    <xf numFmtId="3" fontId="57" fillId="2" borderId="1" xfId="12" applyNumberFormat="1" applyFont="1" applyFill="1" applyBorder="1" applyAlignment="1">
      <alignment horizontal="right" vertical="center" wrapText="1"/>
    </xf>
    <xf numFmtId="3" fontId="59" fillId="2" borderId="1" xfId="10" applyNumberFormat="1" applyFont="1" applyFill="1" applyBorder="1" applyAlignment="1">
      <alignment horizontal="right" vertical="center" wrapText="1"/>
    </xf>
    <xf numFmtId="3" fontId="57" fillId="2" borderId="1" xfId="12" applyNumberFormat="1" applyFont="1" applyFill="1" applyBorder="1" applyAlignment="1">
      <alignment vertical="center" wrapText="1"/>
    </xf>
    <xf numFmtId="3" fontId="57" fillId="2" borderId="1" xfId="12" applyNumberFormat="1" applyFont="1" applyFill="1" applyBorder="1" applyAlignment="1">
      <alignment horizontal="center" vertical="center" wrapText="1"/>
    </xf>
    <xf numFmtId="4" fontId="57" fillId="2" borderId="1" xfId="12" applyNumberFormat="1" applyFont="1" applyFill="1" applyBorder="1" applyAlignment="1">
      <alignment vertical="center" wrapText="1"/>
    </xf>
    <xf numFmtId="3" fontId="57" fillId="0" borderId="1" xfId="12" applyNumberFormat="1" applyFont="1" applyBorder="1" applyAlignment="1">
      <alignment vertical="center" wrapText="1"/>
    </xf>
    <xf numFmtId="3" fontId="59" fillId="0" borderId="1" xfId="10" applyNumberFormat="1" applyFont="1" applyBorder="1" applyAlignment="1">
      <alignment horizontal="right" vertical="center" wrapText="1"/>
    </xf>
    <xf numFmtId="0" fontId="60" fillId="0" borderId="1" xfId="12" applyFont="1" applyBorder="1" applyAlignment="1">
      <alignment vertical="center" wrapText="1"/>
    </xf>
    <xf numFmtId="0" fontId="45" fillId="0" borderId="0" xfId="12" applyFont="1" applyAlignment="1">
      <alignment horizontal="right" vertical="center" wrapText="1"/>
    </xf>
    <xf numFmtId="3" fontId="48" fillId="0" borderId="0" xfId="10" applyNumberFormat="1" applyFont="1" applyAlignment="1">
      <alignment horizontal="right" vertical="center" wrapText="1"/>
    </xf>
    <xf numFmtId="0" fontId="46" fillId="0" borderId="0" xfId="12" applyFont="1" applyAlignment="1">
      <alignment horizontal="center" vertical="center" wrapText="1"/>
    </xf>
    <xf numFmtId="3" fontId="46" fillId="0" borderId="0" xfId="12" applyNumberFormat="1" applyFont="1" applyAlignment="1">
      <alignment horizontal="right" vertical="center" wrapText="1"/>
    </xf>
    <xf numFmtId="170" fontId="61" fillId="0" borderId="0" xfId="7" applyNumberFormat="1" applyFont="1" applyAlignment="1">
      <alignment horizontal="center" vertical="center"/>
    </xf>
    <xf numFmtId="3" fontId="61" fillId="0" borderId="0" xfId="7" applyNumberFormat="1" applyFont="1" applyAlignment="1">
      <alignment horizontal="center" vertical="center"/>
    </xf>
    <xf numFmtId="0" fontId="62" fillId="0" borderId="0" xfId="7" applyFont="1" applyAlignment="1">
      <alignment horizontal="center" vertical="center"/>
    </xf>
    <xf numFmtId="0" fontId="59" fillId="0" borderId="1" xfId="10" applyFont="1" applyBorder="1" applyAlignment="1">
      <alignment horizontal="center" vertical="center"/>
    </xf>
    <xf numFmtId="0" fontId="59" fillId="0" borderId="1" xfId="10" applyFont="1" applyBorder="1" applyAlignment="1">
      <alignment horizontal="center" vertical="center" wrapText="1"/>
    </xf>
    <xf numFmtId="171" fontId="59" fillId="0" borderId="1" xfId="10" applyNumberFormat="1" applyFont="1" applyBorder="1" applyAlignment="1">
      <alignment horizontal="center" vertical="center" wrapText="1"/>
    </xf>
    <xf numFmtId="171" fontId="59" fillId="0" borderId="1" xfId="10" applyNumberFormat="1" applyFont="1" applyBorder="1" applyAlignment="1">
      <alignment horizontal="right" vertical="center" wrapText="1"/>
    </xf>
    <xf numFmtId="0" fontId="59" fillId="2" borderId="1" xfId="7" applyFont="1" applyFill="1" applyBorder="1" applyAlignment="1">
      <alignment horizontal="right"/>
    </xf>
    <xf numFmtId="171" fontId="59" fillId="2" borderId="1" xfId="10" applyNumberFormat="1" applyFont="1" applyFill="1" applyBorder="1" applyAlignment="1">
      <alignment horizontal="center" vertical="center" wrapText="1"/>
    </xf>
    <xf numFmtId="171" fontId="59" fillId="2" borderId="1" xfId="10" applyNumberFormat="1" applyFont="1" applyFill="1" applyBorder="1" applyAlignment="1">
      <alignment horizontal="right" vertical="center" wrapText="1"/>
    </xf>
    <xf numFmtId="171" fontId="47" fillId="0" borderId="0" xfId="10" applyNumberFormat="1" applyFont="1" applyAlignment="1">
      <alignment horizontal="right" vertical="center" wrapText="1"/>
    </xf>
    <xf numFmtId="171" fontId="48" fillId="0" borderId="0" xfId="10" applyNumberFormat="1" applyFont="1" applyAlignment="1">
      <alignment horizontal="center" vertical="center" wrapText="1"/>
    </xf>
    <xf numFmtId="170" fontId="48" fillId="0" borderId="0" xfId="8" applyNumberFormat="1" applyFont="1" applyAlignment="1">
      <alignment horizontal="center"/>
    </xf>
    <xf numFmtId="3" fontId="48" fillId="0" borderId="0" xfId="8" applyNumberFormat="1" applyFont="1" applyAlignment="1">
      <alignment horizontal="center"/>
    </xf>
    <xf numFmtId="0" fontId="52" fillId="0" borderId="0" xfId="8" applyFont="1" applyAlignment="1">
      <alignment horizontal="center"/>
    </xf>
    <xf numFmtId="0" fontId="52" fillId="0" borderId="0" xfId="7" applyFont="1" applyAlignment="1">
      <alignment horizontal="center"/>
    </xf>
    <xf numFmtId="3" fontId="58" fillId="2" borderId="1" xfId="10" applyNumberFormat="1" applyFont="1" applyFill="1" applyBorder="1" applyAlignment="1">
      <alignment horizontal="right" vertical="center" wrapText="1"/>
    </xf>
    <xf numFmtId="3" fontId="58" fillId="0" borderId="1" xfId="10" applyNumberFormat="1" applyFont="1" applyBorder="1" applyAlignment="1">
      <alignment horizontal="right" vertical="center" wrapText="1"/>
    </xf>
    <xf numFmtId="2" fontId="47" fillId="0" borderId="0" xfId="10" applyNumberFormat="1" applyFont="1" applyAlignment="1">
      <alignment horizontal="right" vertical="center" wrapText="1"/>
    </xf>
    <xf numFmtId="171" fontId="57" fillId="2" borderId="1" xfId="12" applyNumberFormat="1" applyFont="1" applyFill="1" applyBorder="1" applyAlignment="1">
      <alignment horizontal="right" vertical="center" wrapText="1"/>
    </xf>
    <xf numFmtId="3" fontId="58" fillId="2" borderId="1" xfId="12" applyNumberFormat="1" applyFont="1" applyFill="1" applyBorder="1" applyAlignment="1">
      <alignment horizontal="right" vertical="center" wrapText="1"/>
    </xf>
    <xf numFmtId="3" fontId="59" fillId="0" borderId="1" xfId="10" applyNumberFormat="1" applyFont="1" applyBorder="1" applyAlignment="1">
      <alignment horizontal="right" vertical="center" wrapText="1"/>
    </xf>
    <xf numFmtId="3" fontId="61" fillId="6" borderId="0" xfId="10" applyNumberFormat="1" applyFont="1" applyFill="1" applyAlignment="1">
      <alignment horizontal="right" vertical="center" wrapText="1"/>
    </xf>
    <xf numFmtId="0" fontId="57" fillId="2" borderId="1" xfId="12" applyFont="1" applyFill="1" applyBorder="1" applyAlignment="1">
      <alignment horizontal="center" vertical="center"/>
    </xf>
    <xf numFmtId="171" fontId="57" fillId="2" borderId="1" xfId="12" applyNumberFormat="1" applyFont="1" applyFill="1" applyBorder="1" applyAlignment="1">
      <alignment horizontal="center" vertical="center" wrapText="1"/>
    </xf>
    <xf numFmtId="3" fontId="58" fillId="2" borderId="1" xfId="12" applyNumberFormat="1" applyFont="1" applyFill="1" applyBorder="1" applyAlignment="1">
      <alignment vertical="center" wrapText="1"/>
    </xf>
    <xf numFmtId="3" fontId="58" fillId="2" borderId="1" xfId="12" applyNumberFormat="1" applyFont="1" applyFill="1" applyBorder="1" applyAlignment="1">
      <alignment horizontal="center" vertical="center" wrapText="1"/>
    </xf>
    <xf numFmtId="4" fontId="58" fillId="2" borderId="1" xfId="12" applyNumberFormat="1" applyFont="1" applyFill="1" applyBorder="1" applyAlignment="1">
      <alignment vertical="center" wrapText="1"/>
    </xf>
    <xf numFmtId="2" fontId="45" fillId="0" borderId="0" xfId="12" applyNumberFormat="1" applyFont="1" applyAlignment="1">
      <alignment horizontal="right" vertical="center" wrapText="1"/>
    </xf>
    <xf numFmtId="0" fontId="59" fillId="0" borderId="13" xfId="10" applyFont="1" applyBorder="1" applyAlignment="1">
      <alignment horizontal="center" vertical="center" wrapText="1"/>
    </xf>
    <xf numFmtId="2" fontId="59" fillId="2" borderId="13" xfId="11" applyNumberFormat="1" applyFont="1" applyFill="1" applyBorder="1" applyAlignment="1">
      <alignment horizontal="left" vertical="center" wrapText="1"/>
    </xf>
    <xf numFmtId="171" fontId="58" fillId="2" borderId="1" xfId="10" applyNumberFormat="1" applyFont="1" applyFill="1" applyBorder="1" applyAlignment="1">
      <alignment horizontal="right" vertical="center" wrapText="1"/>
    </xf>
    <xf numFmtId="171" fontId="52" fillId="0" borderId="13" xfId="10" applyNumberFormat="1" applyFont="1" applyBorder="1" applyAlignment="1">
      <alignment horizontal="center" vertical="center" wrapText="1"/>
    </xf>
    <xf numFmtId="0" fontId="58" fillId="2" borderId="0" xfId="7" applyFont="1" applyFill="1" applyAlignment="1">
      <alignment horizontal="center" vertical="center"/>
    </xf>
    <xf numFmtId="3" fontId="58" fillId="0" borderId="1" xfId="12" applyNumberFormat="1" applyFont="1" applyBorder="1" applyAlignment="1">
      <alignment vertical="center" wrapText="1"/>
    </xf>
    <xf numFmtId="3" fontId="58" fillId="0" borderId="1" xfId="12" applyNumberFormat="1" applyFont="1" applyBorder="1" applyAlignment="1">
      <alignment horizontal="right" vertical="center" wrapText="1"/>
    </xf>
    <xf numFmtId="3" fontId="57" fillId="0" borderId="1" xfId="12" applyNumberFormat="1" applyFont="1" applyBorder="1" applyAlignment="1">
      <alignment horizontal="center" vertical="center" wrapText="1"/>
    </xf>
    <xf numFmtId="4" fontId="57" fillId="0" borderId="1" xfId="12" applyNumberFormat="1" applyFont="1" applyBorder="1" applyAlignment="1">
      <alignment vertical="center" wrapText="1"/>
    </xf>
    <xf numFmtId="3" fontId="57" fillId="0" borderId="1" xfId="12" applyNumberFormat="1" applyFont="1" applyBorder="1" applyAlignment="1">
      <alignment horizontal="right" vertical="center" wrapText="1"/>
    </xf>
    <xf numFmtId="0" fontId="57" fillId="0" borderId="1" xfId="12" applyFont="1" applyBorder="1" applyAlignment="1">
      <alignment horizontal="left" vertical="center" wrapText="1"/>
    </xf>
    <xf numFmtId="171" fontId="58" fillId="0" borderId="1" xfId="12" applyNumberFormat="1" applyFont="1" applyBorder="1" applyAlignment="1">
      <alignment horizontal="right" vertical="center" wrapText="1"/>
    </xf>
    <xf numFmtId="0" fontId="60" fillId="0" borderId="0" xfId="12" applyFont="1" applyAlignment="1">
      <alignment vertical="center" wrapText="1"/>
    </xf>
    <xf numFmtId="0" fontId="56" fillId="0" borderId="1" xfId="7" applyFont="1" applyBorder="1" applyAlignment="1">
      <alignment horizontal="center" vertical="center"/>
    </xf>
    <xf numFmtId="0" fontId="56" fillId="0" borderId="1" xfId="7" applyFont="1" applyBorder="1" applyAlignment="1">
      <alignment vertical="center"/>
    </xf>
    <xf numFmtId="171" fontId="56" fillId="0" borderId="1" xfId="7" applyNumberFormat="1" applyFont="1" applyBorder="1" applyAlignment="1">
      <alignment vertical="center"/>
    </xf>
    <xf numFmtId="170" fontId="56" fillId="0" borderId="1" xfId="7" applyNumberFormat="1" applyFont="1" applyBorder="1" applyAlignment="1">
      <alignment horizontal="right" vertical="center" wrapText="1"/>
    </xf>
    <xf numFmtId="170" fontId="56" fillId="0" borderId="1" xfId="7" applyNumberFormat="1" applyFont="1" applyBorder="1" applyAlignment="1">
      <alignment horizontal="center" vertical="center" wrapText="1"/>
    </xf>
    <xf numFmtId="3" fontId="56" fillId="0" borderId="1" xfId="7" applyNumberFormat="1" applyFont="1" applyBorder="1" applyAlignment="1">
      <alignment horizontal="right" vertical="center" wrapText="1"/>
    </xf>
    <xf numFmtId="3" fontId="56" fillId="0" borderId="1" xfId="7" applyNumberFormat="1" applyFont="1" applyBorder="1" applyAlignment="1">
      <alignment horizontal="center" vertical="center" wrapText="1"/>
    </xf>
    <xf numFmtId="3" fontId="56" fillId="2" borderId="1" xfId="7" applyNumberFormat="1" applyFont="1" applyFill="1" applyBorder="1" applyAlignment="1">
      <alignment horizontal="right" vertical="center" wrapText="1"/>
    </xf>
    <xf numFmtId="3" fontId="56" fillId="0" borderId="0" xfId="7" applyNumberFormat="1" applyFont="1" applyAlignment="1">
      <alignment horizontal="right" vertical="center" wrapText="1"/>
    </xf>
    <xf numFmtId="3" fontId="56" fillId="0" borderId="0" xfId="7" applyNumberFormat="1" applyFont="1" applyAlignment="1">
      <alignment horizontal="center" vertical="center" wrapText="1"/>
    </xf>
    <xf numFmtId="170" fontId="56" fillId="0" borderId="0" xfId="7" applyNumberFormat="1" applyFont="1"/>
    <xf numFmtId="3" fontId="56" fillId="0" borderId="0" xfId="7" applyNumberFormat="1" applyFont="1"/>
    <xf numFmtId="0" fontId="56" fillId="0" borderId="0" xfId="7" applyFont="1"/>
    <xf numFmtId="171" fontId="10" fillId="0" borderId="1" xfId="7" applyNumberFormat="1" applyFont="1" applyBorder="1" applyAlignment="1">
      <alignment horizontal="center"/>
    </xf>
    <xf numFmtId="171" fontId="10" fillId="0" borderId="1" xfId="7" applyNumberFormat="1" applyFont="1" applyBorder="1" applyAlignment="1">
      <alignment horizontal="right"/>
    </xf>
    <xf numFmtId="171" fontId="10" fillId="0" borderId="0" xfId="7" applyNumberFormat="1" applyFont="1" applyAlignment="1">
      <alignment horizontal="center"/>
    </xf>
    <xf numFmtId="3" fontId="48" fillId="0" borderId="0" xfId="7" applyNumberFormat="1" applyFont="1" applyAlignment="1">
      <alignment horizontal="right"/>
    </xf>
    <xf numFmtId="171" fontId="48" fillId="0" borderId="0" xfId="7" applyNumberFormat="1" applyFont="1" applyAlignment="1">
      <alignment horizontal="center"/>
    </xf>
    <xf numFmtId="170" fontId="48" fillId="0" borderId="0" xfId="7" applyNumberFormat="1" applyFont="1"/>
    <xf numFmtId="3" fontId="48" fillId="0" borderId="0" xfId="7" applyNumberFormat="1" applyFont="1"/>
    <xf numFmtId="0" fontId="10" fillId="0" borderId="0" xfId="7" applyFont="1"/>
    <xf numFmtId="0" fontId="10" fillId="2" borderId="0" xfId="7" applyFont="1" applyFill="1" applyAlignment="1">
      <alignment horizontal="center"/>
    </xf>
    <xf numFmtId="0" fontId="10" fillId="2" borderId="0" xfId="7" applyFont="1" applyFill="1"/>
    <xf numFmtId="171" fontId="10" fillId="2" borderId="0" xfId="7" applyNumberFormat="1" applyFont="1" applyFill="1"/>
    <xf numFmtId="171" fontId="10" fillId="2" borderId="0" xfId="7" applyNumberFormat="1" applyFont="1" applyFill="1" applyAlignment="1">
      <alignment horizontal="center"/>
    </xf>
    <xf numFmtId="171" fontId="10" fillId="2" borderId="0" xfId="7" applyNumberFormat="1" applyFont="1" applyFill="1" applyAlignment="1">
      <alignment horizontal="left"/>
    </xf>
    <xf numFmtId="171" fontId="10" fillId="2" borderId="0" xfId="7" applyNumberFormat="1" applyFont="1" applyFill="1" applyAlignment="1">
      <alignment horizontal="right"/>
    </xf>
    <xf numFmtId="171" fontId="52" fillId="2" borderId="0" xfId="7" applyNumberFormat="1" applyFont="1" applyFill="1" applyAlignment="1">
      <alignment horizontal="right"/>
    </xf>
    <xf numFmtId="3" fontId="56" fillId="2" borderId="0" xfId="7" applyNumberFormat="1" applyFont="1" applyFill="1" applyAlignment="1">
      <alignment horizontal="right"/>
    </xf>
    <xf numFmtId="3" fontId="48" fillId="2" borderId="0" xfId="7" applyNumberFormat="1" applyFont="1" applyFill="1" applyAlignment="1">
      <alignment horizontal="right"/>
    </xf>
    <xf numFmtId="171" fontId="48" fillId="2" borderId="0" xfId="7" applyNumberFormat="1" applyFont="1" applyFill="1" applyAlignment="1">
      <alignment horizontal="center"/>
    </xf>
    <xf numFmtId="170" fontId="48" fillId="2" borderId="0" xfId="7" applyNumberFormat="1" applyFont="1" applyFill="1"/>
    <xf numFmtId="3" fontId="48" fillId="2" borderId="0" xfId="7" applyNumberFormat="1" applyFont="1" applyFill="1"/>
    <xf numFmtId="0" fontId="47" fillId="0" borderId="0" xfId="7" applyFont="1" applyAlignment="1">
      <alignment horizontal="center" wrapText="1"/>
    </xf>
    <xf numFmtId="3" fontId="47" fillId="0" borderId="0" xfId="7" applyNumberFormat="1" applyFont="1" applyAlignment="1">
      <alignment horizontal="right" wrapText="1"/>
    </xf>
    <xf numFmtId="0" fontId="11" fillId="0" borderId="0" xfId="7" applyFont="1"/>
    <xf numFmtId="164" fontId="27" fillId="0" borderId="0" xfId="9" applyFont="1" applyBorder="1" applyAlignment="1">
      <alignment horizontal="center"/>
    </xf>
    <xf numFmtId="3" fontId="64" fillId="0" borderId="0" xfId="9" applyNumberFormat="1" applyFont="1" applyBorder="1" applyAlignment="1">
      <alignment horizontal="right"/>
    </xf>
    <xf numFmtId="164" fontId="64" fillId="0" borderId="0" xfId="9" applyFont="1" applyBorder="1" applyAlignment="1">
      <alignment horizontal="center"/>
    </xf>
    <xf numFmtId="164" fontId="29" fillId="0" borderId="0" xfId="9" applyFont="1" applyBorder="1" applyAlignment="1">
      <alignment horizontal="center"/>
    </xf>
    <xf numFmtId="164" fontId="29" fillId="0" borderId="0" xfId="9" applyFont="1" applyBorder="1" applyAlignment="1">
      <alignment horizontal="right"/>
    </xf>
    <xf numFmtId="164" fontId="29" fillId="0" borderId="0" xfId="9" applyFont="1" applyFill="1" applyBorder="1" applyAlignment="1">
      <alignment horizontal="center"/>
    </xf>
    <xf numFmtId="164" fontId="29" fillId="0" borderId="0" xfId="9" applyFont="1" applyBorder="1" applyAlignment="1"/>
    <xf numFmtId="2" fontId="51" fillId="0" borderId="1" xfId="11" applyNumberFormat="1" applyFont="1" applyFill="1" applyBorder="1" applyAlignment="1">
      <alignment horizontal="center" vertical="center" wrapText="1"/>
    </xf>
    <xf numFmtId="166" fontId="51" fillId="0" borderId="1" xfId="11" applyNumberFormat="1" applyFont="1" applyFill="1" applyBorder="1" applyAlignment="1">
      <alignment horizontal="center" vertical="center" wrapText="1"/>
    </xf>
    <xf numFmtId="0" fontId="59" fillId="0" borderId="1" xfId="7" applyFont="1" applyBorder="1" applyAlignment="1">
      <alignment horizontal="center" vertical="center"/>
    </xf>
    <xf numFmtId="0" fontId="59" fillId="0" borderId="1" xfId="12" applyFont="1" applyBorder="1" applyAlignment="1">
      <alignment horizontal="center" vertical="center"/>
    </xf>
    <xf numFmtId="0" fontId="59" fillId="0" borderId="1" xfId="12" applyFont="1" applyBorder="1" applyAlignment="1">
      <alignment horizontal="center" vertical="center" wrapText="1"/>
    </xf>
    <xf numFmtId="171" fontId="59" fillId="0" borderId="1" xfId="12" applyNumberFormat="1" applyFont="1" applyBorder="1" applyAlignment="1">
      <alignment horizontal="right" vertical="center" wrapText="1"/>
    </xf>
    <xf numFmtId="1" fontId="59" fillId="0" borderId="1" xfId="12" applyNumberFormat="1" applyFont="1" applyBorder="1" applyAlignment="1">
      <alignment horizontal="right" vertical="center" wrapText="1"/>
    </xf>
    <xf numFmtId="0" fontId="59" fillId="2" borderId="1" xfId="12" applyFont="1" applyFill="1" applyBorder="1" applyAlignment="1">
      <alignment horizontal="left" vertical="center" wrapText="1"/>
    </xf>
    <xf numFmtId="0" fontId="59" fillId="2" borderId="1" xfId="12" applyFont="1" applyFill="1" applyBorder="1" applyAlignment="1">
      <alignment horizontal="center" vertical="center" wrapText="1"/>
    </xf>
    <xf numFmtId="171" fontId="59" fillId="2" borderId="1" xfId="12" applyNumberFormat="1" applyFont="1" applyFill="1" applyBorder="1" applyAlignment="1">
      <alignment horizontal="right" vertical="center" wrapText="1"/>
    </xf>
    <xf numFmtId="3" fontId="59" fillId="2" borderId="1" xfId="12" applyNumberFormat="1" applyFont="1" applyFill="1" applyBorder="1" applyAlignment="1">
      <alignment horizontal="right" vertical="center" wrapText="1"/>
    </xf>
    <xf numFmtId="3" fontId="59" fillId="2" borderId="1" xfId="12" applyNumberFormat="1" applyFont="1" applyFill="1" applyBorder="1" applyAlignment="1">
      <alignment vertical="center" wrapText="1"/>
    </xf>
    <xf numFmtId="3" fontId="59" fillId="2" borderId="1" xfId="12" applyNumberFormat="1" applyFont="1" applyFill="1" applyBorder="1" applyAlignment="1">
      <alignment horizontal="center" vertical="center" wrapText="1"/>
    </xf>
    <xf numFmtId="4" fontId="59" fillId="2" borderId="1" xfId="12" applyNumberFormat="1" applyFont="1" applyFill="1" applyBorder="1" applyAlignment="1">
      <alignment vertical="center" wrapText="1"/>
    </xf>
    <xf numFmtId="3" fontId="59" fillId="0" borderId="1" xfId="12" applyNumberFormat="1" applyFont="1" applyBorder="1" applyAlignment="1">
      <alignment vertical="center" wrapText="1"/>
    </xf>
    <xf numFmtId="0" fontId="52" fillId="0" borderId="1" xfId="12" applyFont="1" applyBorder="1" applyAlignment="1">
      <alignment vertical="center" wrapText="1"/>
    </xf>
    <xf numFmtId="0" fontId="47" fillId="0" borderId="0" xfId="12" applyFont="1" applyAlignment="1">
      <alignment horizontal="right" vertical="center" wrapText="1"/>
    </xf>
    <xf numFmtId="0" fontId="48" fillId="0" borderId="0" xfId="12" applyFont="1" applyAlignment="1">
      <alignment horizontal="center" vertical="center" wrapText="1"/>
    </xf>
    <xf numFmtId="3" fontId="48" fillId="0" borderId="0" xfId="12" applyNumberFormat="1" applyFont="1" applyAlignment="1">
      <alignment horizontal="right" vertical="center" wrapText="1"/>
    </xf>
    <xf numFmtId="170" fontId="48" fillId="0" borderId="0" xfId="7" applyNumberFormat="1" applyFont="1" applyAlignment="1">
      <alignment horizontal="center" vertical="center"/>
    </xf>
    <xf numFmtId="3" fontId="48" fillId="0" borderId="0" xfId="7" applyNumberFormat="1" applyFont="1" applyAlignment="1">
      <alignment horizontal="center" vertical="center"/>
    </xf>
    <xf numFmtId="0" fontId="52" fillId="0" borderId="0" xfId="7" applyFont="1" applyAlignment="1">
      <alignment horizontal="center" vertical="center"/>
    </xf>
    <xf numFmtId="3" fontId="48" fillId="6" borderId="0" xfId="10" applyNumberFormat="1" applyFont="1" applyFill="1" applyAlignment="1">
      <alignment horizontal="right" vertical="center" wrapText="1"/>
    </xf>
    <xf numFmtId="0" fontId="59" fillId="2" borderId="1" xfId="12" applyFont="1" applyFill="1" applyBorder="1" applyAlignment="1">
      <alignment horizontal="center" vertical="center"/>
    </xf>
    <xf numFmtId="171" fontId="59" fillId="2" borderId="1" xfId="12" applyNumberFormat="1" applyFont="1" applyFill="1" applyBorder="1" applyAlignment="1">
      <alignment horizontal="center" vertical="center" wrapText="1"/>
    </xf>
    <xf numFmtId="2" fontId="47" fillId="0" borderId="0" xfId="12" applyNumberFormat="1" applyFont="1" applyAlignment="1">
      <alignment horizontal="right" vertical="center" wrapText="1"/>
    </xf>
    <xf numFmtId="0" fontId="59" fillId="2" borderId="0" xfId="7" applyFont="1" applyFill="1" applyAlignment="1">
      <alignment horizontal="center" vertical="center"/>
    </xf>
    <xf numFmtId="3" fontId="59" fillId="0" borderId="1" xfId="12" applyNumberFormat="1" applyFont="1" applyBorder="1" applyAlignment="1">
      <alignment horizontal="right" vertical="center" wrapText="1"/>
    </xf>
    <xf numFmtId="3" fontId="59" fillId="0" borderId="1" xfId="12" applyNumberFormat="1" applyFont="1" applyBorder="1" applyAlignment="1">
      <alignment horizontal="center" vertical="center" wrapText="1"/>
    </xf>
    <xf numFmtId="4" fontId="59" fillId="0" borderId="1" xfId="12" applyNumberFormat="1" applyFont="1" applyBorder="1" applyAlignment="1">
      <alignment vertical="center" wrapText="1"/>
    </xf>
    <xf numFmtId="0" fontId="59" fillId="0" borderId="1" xfId="12" applyFont="1" applyBorder="1" applyAlignment="1">
      <alignment horizontal="left" vertical="center" wrapText="1"/>
    </xf>
    <xf numFmtId="0" fontId="52" fillId="0" borderId="0" xfId="12" applyFont="1" applyAlignment="1">
      <alignment vertical="center" wrapText="1"/>
    </xf>
    <xf numFmtId="0" fontId="16" fillId="2" borderId="2" xfId="5" applyNumberFormat="1" applyFont="1" applyFill="1" applyBorder="1" applyAlignment="1">
      <alignment horizontal="left" vertical="top" wrapText="1"/>
    </xf>
    <xf numFmtId="0" fontId="16" fillId="2" borderId="3" xfId="5" applyNumberFormat="1" applyFont="1" applyFill="1" applyBorder="1" applyAlignment="1">
      <alignment horizontal="left" vertical="top" wrapText="1"/>
    </xf>
    <xf numFmtId="0" fontId="16" fillId="2" borderId="4" xfId="5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3" fontId="4" fillId="2" borderId="1" xfId="2" applyNumberFormat="1" applyFont="1" applyFill="1" applyBorder="1" applyAlignment="1">
      <alignment horizontal="left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1" fontId="4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3" fontId="5" fillId="2" borderId="2" xfId="2" applyNumberFormat="1" applyFont="1" applyFill="1" applyBorder="1" applyAlignment="1">
      <alignment horizontal="left" vertical="center" wrapText="1"/>
    </xf>
    <xf numFmtId="3" fontId="5" fillId="2" borderId="3" xfId="2" applyNumberFormat="1" applyFont="1" applyFill="1" applyBorder="1" applyAlignment="1">
      <alignment horizontal="left" vertical="center" wrapText="1"/>
    </xf>
    <xf numFmtId="3" fontId="5" fillId="2" borderId="4" xfId="2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center" vertical="center" wrapText="1"/>
    </xf>
    <xf numFmtId="165" fontId="16" fillId="2" borderId="1" xfId="5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3" fillId="2" borderId="2" xfId="0" quotePrefix="1" applyFont="1" applyFill="1" applyBorder="1" applyAlignment="1">
      <alignment horizontal="left" vertical="center" wrapText="1"/>
    </xf>
    <xf numFmtId="0" fontId="13" fillId="2" borderId="3" xfId="0" quotePrefix="1" applyFont="1" applyFill="1" applyBorder="1" applyAlignment="1">
      <alignment horizontal="left" vertical="center" wrapText="1"/>
    </xf>
    <xf numFmtId="0" fontId="13" fillId="2" borderId="4" xfId="0" quotePrefix="1" applyFont="1" applyFill="1" applyBorder="1" applyAlignment="1">
      <alignment horizontal="left" vertical="center" wrapText="1"/>
    </xf>
    <xf numFmtId="0" fontId="16" fillId="2" borderId="1" xfId="5" applyNumberFormat="1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8" xfId="3" applyFont="1" applyFill="1" applyBorder="1" applyAlignment="1">
      <alignment horizontal="left" vertical="center" wrapText="1"/>
    </xf>
    <xf numFmtId="0" fontId="5" fillId="2" borderId="5" xfId="3" applyFont="1" applyFill="1" applyBorder="1" applyAlignment="1">
      <alignment horizontal="left" vertical="center" wrapText="1"/>
    </xf>
    <xf numFmtId="0" fontId="5" fillId="2" borderId="9" xfId="3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5" fillId="2" borderId="2" xfId="0" quotePrefix="1" applyFont="1" applyFill="1" applyBorder="1" applyAlignment="1">
      <alignment horizontal="left" vertical="center" wrapText="1"/>
    </xf>
    <xf numFmtId="0" fontId="5" fillId="2" borderId="3" xfId="0" quotePrefix="1" applyFont="1" applyFill="1" applyBorder="1" applyAlignment="1">
      <alignment horizontal="left" vertical="center" wrapText="1"/>
    </xf>
    <xf numFmtId="0" fontId="5" fillId="2" borderId="4" xfId="0" quotePrefix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6" fillId="2" borderId="0" xfId="0" applyFont="1" applyFill="1" applyAlignment="1">
      <alignment horizontal="center" vertical="center"/>
    </xf>
    <xf numFmtId="49" fontId="36" fillId="2" borderId="0" xfId="0" applyNumberFormat="1" applyFont="1" applyFill="1" applyAlignment="1">
      <alignment horizontal="center" vertical="center"/>
    </xf>
    <xf numFmtId="0" fontId="53" fillId="2" borderId="14" xfId="10" applyFont="1" applyFill="1" applyBorder="1" applyAlignment="1">
      <alignment horizontal="center" vertical="center" wrapText="1"/>
    </xf>
    <xf numFmtId="0" fontId="53" fillId="2" borderId="15" xfId="10" applyFont="1" applyFill="1" applyBorder="1" applyAlignment="1">
      <alignment horizontal="center" vertical="center" wrapText="1"/>
    </xf>
    <xf numFmtId="0" fontId="53" fillId="2" borderId="16" xfId="10" applyFont="1" applyFill="1" applyBorder="1" applyAlignment="1">
      <alignment horizontal="center" vertical="center" wrapText="1"/>
    </xf>
    <xf numFmtId="0" fontId="53" fillId="2" borderId="18" xfId="10" applyFont="1" applyFill="1" applyBorder="1" applyAlignment="1">
      <alignment horizontal="center" vertical="center" wrapText="1"/>
    </xf>
    <xf numFmtId="0" fontId="53" fillId="2" borderId="12" xfId="10" applyFont="1" applyFill="1" applyBorder="1" applyAlignment="1">
      <alignment horizontal="center" vertical="center" wrapText="1"/>
    </xf>
    <xf numFmtId="0" fontId="53" fillId="2" borderId="19" xfId="10" applyFont="1" applyFill="1" applyBorder="1" applyAlignment="1">
      <alignment horizontal="center" vertical="center" wrapText="1"/>
    </xf>
    <xf numFmtId="0" fontId="45" fillId="0" borderId="0" xfId="7" applyFont="1" applyAlignment="1">
      <alignment horizontal="center" wrapText="1"/>
    </xf>
    <xf numFmtId="0" fontId="47" fillId="2" borderId="0" xfId="7" applyFont="1" applyFill="1" applyAlignment="1">
      <alignment horizontal="center" vertical="center" wrapText="1"/>
    </xf>
    <xf numFmtId="0" fontId="47" fillId="2" borderId="0" xfId="7" applyFont="1" applyFill="1" applyAlignment="1">
      <alignment horizontal="center" vertical="center"/>
    </xf>
    <xf numFmtId="164" fontId="49" fillId="0" borderId="0" xfId="9" applyFont="1" applyBorder="1" applyAlignment="1">
      <alignment horizontal="center"/>
    </xf>
    <xf numFmtId="164" fontId="30" fillId="0" borderId="12" xfId="9" applyFont="1" applyBorder="1" applyAlignment="1">
      <alignment horizontal="center"/>
    </xf>
    <xf numFmtId="0" fontId="51" fillId="2" borderId="1" xfId="10" applyFont="1" applyFill="1" applyBorder="1" applyAlignment="1">
      <alignment horizontal="center" vertical="center" wrapText="1"/>
    </xf>
    <xf numFmtId="171" fontId="51" fillId="2" borderId="13" xfId="10" applyNumberFormat="1" applyFont="1" applyFill="1" applyBorder="1" applyAlignment="1">
      <alignment horizontal="center" vertical="center" wrapText="1"/>
    </xf>
    <xf numFmtId="171" fontId="51" fillId="2" borderId="17" xfId="10" applyNumberFormat="1" applyFont="1" applyFill="1" applyBorder="1" applyAlignment="1">
      <alignment horizontal="center" vertical="center" wrapText="1"/>
    </xf>
    <xf numFmtId="171" fontId="51" fillId="2" borderId="1" xfId="10" applyNumberFormat="1" applyFont="1" applyFill="1" applyBorder="1" applyAlignment="1">
      <alignment horizontal="center" vertical="center" wrapText="1"/>
    </xf>
    <xf numFmtId="0" fontId="51" fillId="2" borderId="14" xfId="10" applyFont="1" applyFill="1" applyBorder="1" applyAlignment="1">
      <alignment horizontal="center" vertical="center" wrapText="1"/>
    </xf>
    <xf numFmtId="0" fontId="51" fillId="2" borderId="15" xfId="10" applyFont="1" applyFill="1" applyBorder="1" applyAlignment="1">
      <alignment horizontal="center" vertical="center" wrapText="1"/>
    </xf>
    <xf numFmtId="0" fontId="51" fillId="2" borderId="16" xfId="10" applyFont="1" applyFill="1" applyBorder="1" applyAlignment="1">
      <alignment horizontal="center" vertical="center" wrapText="1"/>
    </xf>
    <xf numFmtId="0" fontId="51" fillId="0" borderId="13" xfId="10" applyFont="1" applyBorder="1" applyAlignment="1">
      <alignment horizontal="center" vertical="center" wrapText="1"/>
    </xf>
    <xf numFmtId="0" fontId="51" fillId="0" borderId="17" xfId="10" applyFont="1" applyBorder="1" applyAlignment="1">
      <alignment horizontal="center" vertical="center" wrapText="1"/>
    </xf>
    <xf numFmtId="0" fontId="59" fillId="0" borderId="13" xfId="10" applyFont="1" applyBorder="1" applyAlignment="1">
      <alignment horizontal="center" vertical="center" wrapText="1"/>
    </xf>
    <xf numFmtId="0" fontId="59" fillId="0" borderId="17" xfId="10" applyFont="1" applyBorder="1" applyAlignment="1">
      <alignment horizontal="center" vertical="center" wrapText="1"/>
    </xf>
    <xf numFmtId="2" fontId="59" fillId="2" borderId="13" xfId="11" applyNumberFormat="1" applyFont="1" applyFill="1" applyBorder="1" applyAlignment="1">
      <alignment horizontal="left" vertical="center" wrapText="1"/>
    </xf>
    <xf numFmtId="2" fontId="59" fillId="2" borderId="17" xfId="11" applyNumberFormat="1" applyFont="1" applyFill="1" applyBorder="1" applyAlignment="1">
      <alignment horizontal="left" vertical="center" wrapText="1"/>
    </xf>
    <xf numFmtId="0" fontId="57" fillId="2" borderId="13" xfId="12" applyFont="1" applyFill="1" applyBorder="1" applyAlignment="1">
      <alignment horizontal="center" vertical="center" wrapText="1"/>
    </xf>
    <xf numFmtId="0" fontId="57" fillId="2" borderId="17" xfId="12" applyFont="1" applyFill="1" applyBorder="1" applyAlignment="1">
      <alignment horizontal="center" vertical="center" wrapText="1"/>
    </xf>
    <xf numFmtId="3" fontId="59" fillId="0" borderId="13" xfId="10" applyNumberFormat="1" applyFont="1" applyBorder="1" applyAlignment="1">
      <alignment horizontal="right" vertical="center" wrapText="1"/>
    </xf>
    <xf numFmtId="3" fontId="59" fillId="0" borderId="17" xfId="10" applyNumberFormat="1" applyFont="1" applyBorder="1" applyAlignment="1">
      <alignment horizontal="right" vertical="center" wrapText="1"/>
    </xf>
    <xf numFmtId="171" fontId="52" fillId="0" borderId="13" xfId="10" applyNumberFormat="1" applyFont="1" applyBorder="1" applyAlignment="1">
      <alignment horizontal="center" vertical="center" wrapText="1"/>
    </xf>
    <xf numFmtId="171" fontId="52" fillId="0" borderId="17" xfId="10" applyNumberFormat="1" applyFont="1" applyBorder="1" applyAlignment="1">
      <alignment horizontal="center" vertical="center" wrapText="1"/>
    </xf>
    <xf numFmtId="0" fontId="54" fillId="0" borderId="1" xfId="10" applyFont="1" applyBorder="1" applyAlignment="1">
      <alignment horizontal="center" vertical="center" wrapText="1"/>
    </xf>
    <xf numFmtId="2" fontId="45" fillId="0" borderId="0" xfId="12" applyNumberFormat="1" applyFont="1" applyAlignment="1">
      <alignment horizontal="right" vertical="center" wrapText="1"/>
    </xf>
    <xf numFmtId="0" fontId="57" fillId="0" borderId="1" xfId="7" applyFont="1" applyBorder="1" applyAlignment="1">
      <alignment horizontal="center" vertical="center"/>
    </xf>
    <xf numFmtId="0" fontId="57" fillId="2" borderId="13" xfId="12" applyFont="1" applyFill="1" applyBorder="1" applyAlignment="1">
      <alignment horizontal="left" vertical="center" wrapText="1"/>
    </xf>
    <xf numFmtId="0" fontId="57" fillId="2" borderId="17" xfId="12" applyFont="1" applyFill="1" applyBorder="1" applyAlignment="1">
      <alignment horizontal="left" vertical="center" wrapText="1"/>
    </xf>
    <xf numFmtId="3" fontId="57" fillId="2" borderId="13" xfId="12" applyNumberFormat="1" applyFont="1" applyFill="1" applyBorder="1" applyAlignment="1">
      <alignment horizontal="center" vertical="center" wrapText="1"/>
    </xf>
    <xf numFmtId="3" fontId="57" fillId="2" borderId="17" xfId="12" applyNumberFormat="1" applyFont="1" applyFill="1" applyBorder="1" applyAlignment="1">
      <alignment horizontal="center" vertical="center" wrapText="1"/>
    </xf>
    <xf numFmtId="4" fontId="57" fillId="2" borderId="13" xfId="12" applyNumberFormat="1" applyFont="1" applyFill="1" applyBorder="1" applyAlignment="1">
      <alignment horizontal="right" vertical="center" wrapText="1"/>
    </xf>
    <xf numFmtId="4" fontId="57" fillId="2" borderId="17" xfId="12" applyNumberFormat="1" applyFont="1" applyFill="1" applyBorder="1" applyAlignment="1">
      <alignment horizontal="right" vertical="center" wrapText="1"/>
    </xf>
    <xf numFmtId="3" fontId="57" fillId="2" borderId="13" xfId="12" applyNumberFormat="1" applyFont="1" applyFill="1" applyBorder="1" applyAlignment="1">
      <alignment horizontal="right" vertical="center" wrapText="1"/>
    </xf>
    <xf numFmtId="3" fontId="57" fillId="2" borderId="17" xfId="12" applyNumberFormat="1" applyFont="1" applyFill="1" applyBorder="1" applyAlignment="1">
      <alignment horizontal="right" vertical="center" wrapText="1"/>
    </xf>
    <xf numFmtId="3" fontId="59" fillId="0" borderId="1" xfId="10" applyNumberFormat="1" applyFont="1" applyBorder="1" applyAlignment="1">
      <alignment horizontal="right" vertical="center" wrapText="1"/>
    </xf>
    <xf numFmtId="0" fontId="60" fillId="0" borderId="13" xfId="12" applyFont="1" applyBorder="1" applyAlignment="1">
      <alignment horizontal="left" vertical="center" wrapText="1"/>
    </xf>
    <xf numFmtId="0" fontId="60" fillId="0" borderId="20" xfId="12" applyFont="1" applyBorder="1" applyAlignment="1">
      <alignment horizontal="left" vertical="center" wrapText="1"/>
    </xf>
    <xf numFmtId="0" fontId="63" fillId="0" borderId="1" xfId="7" applyFont="1" applyBorder="1" applyAlignment="1">
      <alignment horizontal="center" vertical="center"/>
    </xf>
    <xf numFmtId="0" fontId="60" fillId="0" borderId="13" xfId="12" applyFont="1" applyBorder="1" applyAlignment="1">
      <alignment horizontal="center" vertical="center" wrapText="1"/>
    </xf>
    <xf numFmtId="0" fontId="60" fillId="0" borderId="17" xfId="12" applyFont="1" applyBorder="1" applyAlignment="1">
      <alignment horizontal="center" vertical="center" wrapText="1"/>
    </xf>
    <xf numFmtId="0" fontId="60" fillId="0" borderId="17" xfId="12" applyFont="1" applyBorder="1" applyAlignment="1">
      <alignment horizontal="left" vertical="center" wrapText="1"/>
    </xf>
    <xf numFmtId="0" fontId="52" fillId="0" borderId="13" xfId="12" applyFont="1" applyBorder="1" applyAlignment="1">
      <alignment horizontal="center" vertical="center" wrapText="1"/>
    </xf>
    <xf numFmtId="0" fontId="52" fillId="0" borderId="17" xfId="12" applyFont="1" applyBorder="1" applyAlignment="1">
      <alignment horizontal="center" vertical="center" wrapText="1"/>
    </xf>
    <xf numFmtId="0" fontId="59" fillId="0" borderId="1" xfId="7" applyFont="1" applyBorder="1" applyAlignment="1">
      <alignment horizontal="center" vertical="center"/>
    </xf>
    <xf numFmtId="0" fontId="59" fillId="2" borderId="13" xfId="12" applyFont="1" applyFill="1" applyBorder="1" applyAlignment="1">
      <alignment horizontal="left" vertical="center" wrapText="1"/>
    </xf>
    <xf numFmtId="0" fontId="59" fillId="2" borderId="17" xfId="12" applyFont="1" applyFill="1" applyBorder="1" applyAlignment="1">
      <alignment horizontal="left" vertical="center" wrapText="1"/>
    </xf>
    <xf numFmtId="0" fontId="59" fillId="2" borderId="13" xfId="12" applyFont="1" applyFill="1" applyBorder="1" applyAlignment="1">
      <alignment horizontal="center" vertical="center" wrapText="1"/>
    </xf>
    <xf numFmtId="0" fontId="59" fillId="2" borderId="17" xfId="12" applyFont="1" applyFill="1" applyBorder="1" applyAlignment="1">
      <alignment horizontal="center" vertical="center" wrapText="1"/>
    </xf>
    <xf numFmtId="0" fontId="52" fillId="0" borderId="13" xfId="12" applyFont="1" applyBorder="1" applyAlignment="1">
      <alignment horizontal="left" vertical="center" wrapText="1"/>
    </xf>
    <xf numFmtId="0" fontId="52" fillId="0" borderId="17" xfId="12" applyFont="1" applyBorder="1" applyAlignment="1">
      <alignment horizontal="left" vertical="center" wrapText="1"/>
    </xf>
    <xf numFmtId="4" fontId="59" fillId="2" borderId="13" xfId="12" applyNumberFormat="1" applyFont="1" applyFill="1" applyBorder="1" applyAlignment="1">
      <alignment horizontal="right" vertical="center" wrapText="1"/>
    </xf>
    <xf numFmtId="4" fontId="59" fillId="2" borderId="17" xfId="12" applyNumberFormat="1" applyFont="1" applyFill="1" applyBorder="1" applyAlignment="1">
      <alignment horizontal="right" vertical="center" wrapText="1"/>
    </xf>
    <xf numFmtId="3" fontId="59" fillId="2" borderId="13" xfId="12" applyNumberFormat="1" applyFont="1" applyFill="1" applyBorder="1" applyAlignment="1">
      <alignment horizontal="center" vertical="center" wrapText="1"/>
    </xf>
    <xf numFmtId="3" fontId="59" fillId="2" borderId="17" xfId="12" applyNumberFormat="1" applyFont="1" applyFill="1" applyBorder="1" applyAlignment="1">
      <alignment horizontal="center" vertical="center" wrapText="1"/>
    </xf>
    <xf numFmtId="3" fontId="59" fillId="2" borderId="13" xfId="12" applyNumberFormat="1" applyFont="1" applyFill="1" applyBorder="1" applyAlignment="1">
      <alignment horizontal="right" vertical="center" wrapText="1"/>
    </xf>
    <xf numFmtId="3" fontId="59" fillId="2" borderId="17" xfId="12" applyNumberFormat="1" applyFont="1" applyFill="1" applyBorder="1" applyAlignment="1">
      <alignment horizontal="right" vertical="center" wrapText="1"/>
    </xf>
    <xf numFmtId="0" fontId="52" fillId="0" borderId="20" xfId="12" applyFont="1" applyBorder="1" applyAlignment="1">
      <alignment horizontal="left" vertical="center" wrapText="1"/>
    </xf>
    <xf numFmtId="2" fontId="47" fillId="0" borderId="0" xfId="12" applyNumberFormat="1" applyFont="1" applyAlignment="1">
      <alignment horizontal="right" vertical="center" wrapText="1"/>
    </xf>
    <xf numFmtId="0" fontId="51" fillId="2" borderId="18" xfId="10" applyFont="1" applyFill="1" applyBorder="1" applyAlignment="1">
      <alignment horizontal="center" vertical="center" wrapText="1"/>
    </xf>
    <xf numFmtId="0" fontId="51" fillId="2" borderId="12" xfId="10" applyFont="1" applyFill="1" applyBorder="1" applyAlignment="1">
      <alignment horizontal="center" vertical="center" wrapText="1"/>
    </xf>
    <xf numFmtId="0" fontId="51" fillId="2" borderId="19" xfId="10" applyFont="1" applyFill="1" applyBorder="1" applyAlignment="1">
      <alignment horizontal="center" vertical="center" wrapText="1"/>
    </xf>
    <xf numFmtId="0" fontId="47" fillId="0" borderId="0" xfId="7" applyFont="1" applyAlignment="1">
      <alignment horizontal="center" wrapText="1"/>
    </xf>
    <xf numFmtId="164" fontId="27" fillId="0" borderId="0" xfId="9" applyFont="1" applyBorder="1" applyAlignment="1">
      <alignment horizontal="center"/>
    </xf>
    <xf numFmtId="164" fontId="29" fillId="0" borderId="12" xfId="9" applyFont="1" applyBorder="1" applyAlignment="1">
      <alignment horizontal="center"/>
    </xf>
  </cellXfs>
  <cellStyles count="13">
    <cellStyle name="Comma" xfId="1" builtinId="3"/>
    <cellStyle name="Comma 2" xfId="2"/>
    <cellStyle name="Comma 2 2" xfId="5"/>
    <cellStyle name="Comma 2 3" xfId="11"/>
    <cellStyle name="Comma 3" xfId="9"/>
    <cellStyle name="Normal" xfId="0" builtinId="0"/>
    <cellStyle name="Normal 10" xfId="12"/>
    <cellStyle name="Normal 11" xfId="8"/>
    <cellStyle name="Normal 2" xfId="3"/>
    <cellStyle name="Normal 2 2" xfId="4"/>
    <cellStyle name="Normal 3" xfId="6"/>
    <cellStyle name="Normal 4" xfId="7"/>
    <cellStyle name="Normal 9" xfId="10"/>
  </cellStyles>
  <dxfs count="0"/>
  <tableStyles count="0" defaultTableStyle="TableStyleMedium2" defaultPivotStyle="PivotStyleLight16"/>
  <colors>
    <mruColors>
      <color rgb="FF99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6</xdr:col>
      <xdr:colOff>0</xdr:colOff>
      <xdr:row>2</xdr:row>
      <xdr:rowOff>0</xdr:rowOff>
    </xdr:to>
    <xdr:sp macro="" textlink="">
      <xdr:nvSpPr>
        <xdr:cNvPr id="2" name="Line 19">
          <a:extLst>
            <a:ext uri="{FF2B5EF4-FFF2-40B4-BE49-F238E27FC236}">
              <a16:creationId xmlns:a16="http://schemas.microsoft.com/office/drawing/2014/main" id="{E3B85B6B-8A3D-4470-AC71-B17313A1ED3B}"/>
            </a:ext>
          </a:extLst>
        </xdr:cNvPr>
        <xdr:cNvSpPr>
          <a:spLocks noChangeShapeType="1"/>
        </xdr:cNvSpPr>
      </xdr:nvSpPr>
      <xdr:spPr bwMode="auto">
        <a:xfrm flipV="1">
          <a:off x="5000625" y="38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499027</xdr:colOff>
      <xdr:row>2</xdr:row>
      <xdr:rowOff>19050</xdr:rowOff>
    </xdr:from>
    <xdr:to>
      <xdr:col>1</xdr:col>
      <xdr:colOff>2003977</xdr:colOff>
      <xdr:row>2</xdr:row>
      <xdr:rowOff>19050</xdr:rowOff>
    </xdr:to>
    <xdr:sp macro="" textlink="">
      <xdr:nvSpPr>
        <xdr:cNvPr id="3" name="Line 20">
          <a:extLst>
            <a:ext uri="{FF2B5EF4-FFF2-40B4-BE49-F238E27FC236}">
              <a16:creationId xmlns:a16="http://schemas.microsoft.com/office/drawing/2014/main" id="{BE061E4A-9E29-45A4-9644-B9E07E5E31C7}"/>
            </a:ext>
          </a:extLst>
        </xdr:cNvPr>
        <xdr:cNvSpPr>
          <a:spLocks noChangeShapeType="1"/>
        </xdr:cNvSpPr>
      </xdr:nvSpPr>
      <xdr:spPr bwMode="auto">
        <a:xfrm>
          <a:off x="746677" y="400050"/>
          <a:ext cx="1504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400050</xdr:colOff>
      <xdr:row>2</xdr:row>
      <xdr:rowOff>9523</xdr:rowOff>
    </xdr:from>
    <xdr:to>
      <xdr:col>6</xdr:col>
      <xdr:colOff>476250</xdr:colOff>
      <xdr:row>2</xdr:row>
      <xdr:rowOff>19049</xdr:rowOff>
    </xdr:to>
    <xdr:sp macro="" textlink="">
      <xdr:nvSpPr>
        <xdr:cNvPr id="4" name="Line 21">
          <a:extLst>
            <a:ext uri="{FF2B5EF4-FFF2-40B4-BE49-F238E27FC236}">
              <a16:creationId xmlns:a16="http://schemas.microsoft.com/office/drawing/2014/main" id="{1E9A87AE-6970-444A-BF12-663A8E2770D1}"/>
            </a:ext>
          </a:extLst>
        </xdr:cNvPr>
        <xdr:cNvSpPr>
          <a:spLocks noChangeShapeType="1"/>
        </xdr:cNvSpPr>
      </xdr:nvSpPr>
      <xdr:spPr bwMode="auto">
        <a:xfrm>
          <a:off x="4162425" y="390523"/>
          <a:ext cx="1209675" cy="952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545"/>
  <sheetViews>
    <sheetView zoomScaleNormal="100" workbookViewId="0">
      <pane ySplit="5" topLeftCell="A516" activePane="bottomLeft" state="frozen"/>
      <selection activeCell="K81" sqref="K81"/>
      <selection pane="bottomLeft" activeCell="J524" sqref="J524"/>
    </sheetView>
  </sheetViews>
  <sheetFormatPr defaultRowHeight="15.75" x14ac:dyDescent="0.25"/>
  <cols>
    <col min="1" max="1" width="3.7109375" style="129" customWidth="1"/>
    <col min="2" max="2" width="41" style="130" customWidth="1"/>
    <col min="3" max="3" width="5.42578125" style="131" customWidth="1"/>
    <col min="4" max="4" width="6.28515625" style="132" customWidth="1"/>
    <col min="5" max="5" width="7.5703125" style="133" customWidth="1"/>
    <col min="6" max="6" width="11.7109375" style="134" customWidth="1"/>
    <col min="7" max="7" width="5.5703125" style="135" customWidth="1"/>
    <col min="8" max="8" width="15" style="134" customWidth="1"/>
    <col min="9" max="9" width="15.42578125" style="152" bestFit="1" customWidth="1"/>
    <col min="10" max="10" width="17.28515625" style="154" bestFit="1" customWidth="1"/>
    <col min="11" max="11" width="14.28515625" style="153" bestFit="1" customWidth="1"/>
    <col min="12" max="12" width="17.7109375" style="153" customWidth="1"/>
    <col min="13" max="15" width="14.28515625" style="153" customWidth="1"/>
    <col min="16" max="16" width="16.7109375" style="153" customWidth="1"/>
    <col min="17" max="18" width="17.28515625" style="187" customWidth="1"/>
    <col min="19" max="19" width="19.28515625" style="154" customWidth="1"/>
    <col min="20" max="21" width="9.140625" style="154"/>
    <col min="22" max="16378" width="9.140625" style="2"/>
    <col min="16379" max="16379" width="12.28515625" style="2" bestFit="1" customWidth="1"/>
    <col min="16380" max="16384" width="12.28515625" style="2" customWidth="1"/>
  </cols>
  <sheetData>
    <row r="1" spans="1:21" x14ac:dyDescent="0.25">
      <c r="A1" s="436" t="s">
        <v>259</v>
      </c>
      <c r="B1" s="436"/>
      <c r="C1" s="437" t="s">
        <v>0</v>
      </c>
      <c r="D1" s="436"/>
      <c r="E1" s="438"/>
      <c r="F1" s="436"/>
      <c r="G1" s="436"/>
      <c r="H1" s="436"/>
      <c r="I1" s="225"/>
    </row>
    <row r="2" spans="1:21" ht="14.25" customHeight="1" x14ac:dyDescent="0.25">
      <c r="A2" s="436" t="s">
        <v>260</v>
      </c>
      <c r="B2" s="436"/>
      <c r="C2" s="437" t="s">
        <v>1</v>
      </c>
      <c r="D2" s="436"/>
      <c r="E2" s="438"/>
      <c r="F2" s="436"/>
      <c r="G2" s="436"/>
      <c r="H2" s="436"/>
      <c r="I2" s="225"/>
    </row>
    <row r="3" spans="1:21" ht="70.5" customHeight="1" x14ac:dyDescent="0.25">
      <c r="A3" s="439" t="s">
        <v>422</v>
      </c>
      <c r="B3" s="439"/>
      <c r="C3" s="437"/>
      <c r="D3" s="439"/>
      <c r="E3" s="439"/>
      <c r="F3" s="439"/>
      <c r="G3" s="439"/>
      <c r="H3" s="439"/>
      <c r="I3" s="226"/>
    </row>
    <row r="4" spans="1:21" ht="12.75" customHeight="1" x14ac:dyDescent="0.25">
      <c r="A4" s="445" t="s">
        <v>423</v>
      </c>
      <c r="B4" s="445"/>
      <c r="C4" s="445"/>
      <c r="D4" s="445"/>
      <c r="E4" s="445"/>
      <c r="F4" s="445"/>
      <c r="G4" s="445"/>
      <c r="H4" s="445"/>
      <c r="I4" s="226"/>
    </row>
    <row r="5" spans="1:21" s="3" customFormat="1" ht="36.75" customHeight="1" x14ac:dyDescent="0.25">
      <c r="A5" s="76" t="s">
        <v>2</v>
      </c>
      <c r="B5" s="77" t="s">
        <v>3</v>
      </c>
      <c r="C5" s="78" t="s">
        <v>4</v>
      </c>
      <c r="D5" s="40" t="s">
        <v>5</v>
      </c>
      <c r="E5" s="79" t="s">
        <v>6</v>
      </c>
      <c r="F5" s="80" t="s">
        <v>7</v>
      </c>
      <c r="G5" s="245" t="s">
        <v>8</v>
      </c>
      <c r="H5" s="77" t="s">
        <v>9</v>
      </c>
      <c r="I5" s="1"/>
      <c r="J5" s="160"/>
      <c r="K5" s="151" t="s">
        <v>243</v>
      </c>
      <c r="L5" s="151" t="s">
        <v>256</v>
      </c>
      <c r="M5" s="151" t="s">
        <v>257</v>
      </c>
      <c r="N5" s="151" t="s">
        <v>418</v>
      </c>
      <c r="O5" s="151" t="s">
        <v>244</v>
      </c>
      <c r="P5" s="151" t="s">
        <v>245</v>
      </c>
      <c r="Q5" s="151" t="s">
        <v>246</v>
      </c>
      <c r="R5" s="151" t="s">
        <v>421</v>
      </c>
      <c r="S5" s="151" t="s">
        <v>398</v>
      </c>
      <c r="T5" s="160"/>
      <c r="U5" s="160"/>
    </row>
    <row r="6" spans="1:21" s="4" customFormat="1" ht="34.15" customHeight="1" x14ac:dyDescent="0.25">
      <c r="A6" s="81" t="s">
        <v>21</v>
      </c>
      <c r="B6" s="440" t="s">
        <v>409</v>
      </c>
      <c r="C6" s="440"/>
      <c r="D6" s="440"/>
      <c r="E6" s="440"/>
      <c r="F6" s="440"/>
      <c r="G6" s="440"/>
      <c r="H6" s="82">
        <f>H9+H21+H7+H159+H160+H161</f>
        <v>2735963000</v>
      </c>
      <c r="I6" s="227">
        <f>ROUND(G6*F6*E6,-3)</f>
        <v>0</v>
      </c>
      <c r="J6" s="174">
        <f>H6-I6</f>
        <v>2735963000</v>
      </c>
      <c r="K6" s="153"/>
      <c r="L6" s="153"/>
      <c r="M6" s="153"/>
      <c r="N6" s="153"/>
      <c r="O6" s="153"/>
      <c r="P6" s="153"/>
      <c r="Q6" s="188"/>
      <c r="R6" s="188"/>
      <c r="S6" s="155"/>
      <c r="T6" s="155"/>
      <c r="U6" s="155"/>
    </row>
    <row r="7" spans="1:21" s="9" customFormat="1" ht="72.75" customHeight="1" x14ac:dyDescent="0.25">
      <c r="A7" s="83" t="s">
        <v>11</v>
      </c>
      <c r="B7" s="453" t="s">
        <v>408</v>
      </c>
      <c r="C7" s="453"/>
      <c r="D7" s="453"/>
      <c r="E7" s="453"/>
      <c r="F7" s="453"/>
      <c r="G7" s="246"/>
      <c r="H7" s="84">
        <f>SUM(H8:H8)</f>
        <v>1807337000</v>
      </c>
      <c r="I7" s="227">
        <f t="shared" ref="I7:I70" si="0">ROUND(G7*F7*E7,-3)</f>
        <v>0</v>
      </c>
      <c r="J7" s="189"/>
      <c r="K7" s="175">
        <f>H7</f>
        <v>1807337000</v>
      </c>
      <c r="L7" s="175"/>
      <c r="M7" s="175"/>
      <c r="N7" s="175"/>
      <c r="O7" s="175"/>
      <c r="P7" s="190"/>
      <c r="Q7" s="156"/>
      <c r="R7" s="156"/>
      <c r="S7" s="157"/>
      <c r="T7" s="157"/>
      <c r="U7" s="157"/>
    </row>
    <row r="8" spans="1:21" s="8" customFormat="1" ht="26.1" customHeight="1" x14ac:dyDescent="0.25">
      <c r="A8" s="85"/>
      <c r="B8" s="86" t="s">
        <v>241</v>
      </c>
      <c r="C8" s="87" t="s">
        <v>242</v>
      </c>
      <c r="D8" s="85" t="s">
        <v>13</v>
      </c>
      <c r="E8" s="88">
        <v>241.3</v>
      </c>
      <c r="F8" s="89">
        <f>10700000</f>
        <v>10700000</v>
      </c>
      <c r="G8" s="247">
        <v>0.7</v>
      </c>
      <c r="H8" s="91">
        <f>ROUND(E8*F8*G8,-3)</f>
        <v>1807337000</v>
      </c>
      <c r="I8" s="227">
        <f t="shared" si="0"/>
        <v>1807337000</v>
      </c>
      <c r="J8" s="191"/>
      <c r="K8" s="192"/>
      <c r="L8" s="192"/>
      <c r="M8" s="192"/>
      <c r="N8" s="192"/>
      <c r="O8" s="192"/>
      <c r="P8" s="193"/>
      <c r="Q8" s="158"/>
      <c r="R8" s="158"/>
      <c r="S8" s="159"/>
      <c r="T8" s="159"/>
      <c r="U8" s="159"/>
    </row>
    <row r="9" spans="1:21" s="3" customFormat="1" ht="39.6" customHeight="1" x14ac:dyDescent="0.25">
      <c r="A9" s="97" t="s">
        <v>12</v>
      </c>
      <c r="B9" s="432" t="s">
        <v>371</v>
      </c>
      <c r="C9" s="432"/>
      <c r="D9" s="432"/>
      <c r="E9" s="432"/>
      <c r="F9" s="432"/>
      <c r="G9" s="432"/>
      <c r="H9" s="82">
        <f>H10+H17</f>
        <v>11194000</v>
      </c>
      <c r="I9" s="227">
        <f t="shared" si="0"/>
        <v>0</v>
      </c>
      <c r="J9" s="174"/>
      <c r="K9" s="153"/>
      <c r="L9" s="153"/>
      <c r="M9" s="153"/>
      <c r="N9" s="153"/>
      <c r="O9" s="153">
        <f>H9</f>
        <v>11194000</v>
      </c>
      <c r="P9" s="153"/>
      <c r="Q9" s="181"/>
      <c r="R9" s="181"/>
      <c r="S9" s="160"/>
      <c r="T9" s="160"/>
      <c r="U9" s="160"/>
    </row>
    <row r="10" spans="1:21" s="10" customFormat="1" ht="26.1" customHeight="1" x14ac:dyDescent="0.25">
      <c r="A10" s="102">
        <v>1</v>
      </c>
      <c r="B10" s="460" t="s">
        <v>142</v>
      </c>
      <c r="C10" s="461"/>
      <c r="D10" s="461"/>
      <c r="E10" s="461"/>
      <c r="F10" s="462"/>
      <c r="G10" s="248"/>
      <c r="H10" s="111">
        <f>SUM(H11:H16)</f>
        <v>5954000</v>
      </c>
      <c r="I10" s="227">
        <f t="shared" si="0"/>
        <v>0</v>
      </c>
      <c r="J10" s="211"/>
      <c r="K10" s="169"/>
      <c r="L10" s="169"/>
      <c r="M10" s="169"/>
      <c r="N10" s="169"/>
      <c r="O10" s="169"/>
      <c r="P10" s="169"/>
      <c r="Q10" s="212"/>
      <c r="R10" s="212"/>
      <c r="S10" s="170"/>
      <c r="T10" s="170"/>
      <c r="U10" s="170"/>
    </row>
    <row r="11" spans="1:21" s="3" customFormat="1" ht="26.1" customHeight="1" x14ac:dyDescent="0.25">
      <c r="A11" s="31"/>
      <c r="B11" s="35" t="s">
        <v>77</v>
      </c>
      <c r="C11" s="36" t="s">
        <v>295</v>
      </c>
      <c r="D11" s="14" t="s">
        <v>16</v>
      </c>
      <c r="E11" s="37">
        <v>4</v>
      </c>
      <c r="F11" s="38">
        <v>50000</v>
      </c>
      <c r="G11" s="249">
        <v>0.5</v>
      </c>
      <c r="H11" s="39">
        <f>ROUND(E11*F11*G11,-3)</f>
        <v>100000</v>
      </c>
      <c r="I11" s="227">
        <f t="shared" si="0"/>
        <v>100000</v>
      </c>
      <c r="J11" s="174"/>
      <c r="K11" s="153"/>
      <c r="L11" s="153"/>
      <c r="M11" s="153"/>
      <c r="N11" s="153"/>
      <c r="O11" s="153"/>
      <c r="P11" s="153"/>
      <c r="Q11" s="181"/>
      <c r="R11" s="181"/>
      <c r="S11" s="160"/>
      <c r="T11" s="160"/>
      <c r="U11" s="160"/>
    </row>
    <row r="12" spans="1:21" s="3" customFormat="1" ht="26.1" customHeight="1" x14ac:dyDescent="0.25">
      <c r="A12" s="31"/>
      <c r="B12" s="35" t="s">
        <v>140</v>
      </c>
      <c r="C12" s="36" t="s">
        <v>295</v>
      </c>
      <c r="D12" s="14" t="s">
        <v>16</v>
      </c>
      <c r="E12" s="37">
        <v>2</v>
      </c>
      <c r="F12" s="38">
        <v>160000</v>
      </c>
      <c r="G12" s="249">
        <v>0.5</v>
      </c>
      <c r="H12" s="39">
        <f t="shared" ref="H12:H20" si="1">ROUND(E12*F12*G12,-3)</f>
        <v>160000</v>
      </c>
      <c r="I12" s="227">
        <f t="shared" si="0"/>
        <v>160000</v>
      </c>
      <c r="J12" s="174"/>
      <c r="K12" s="153"/>
      <c r="L12" s="153"/>
      <c r="M12" s="153"/>
      <c r="N12" s="153"/>
      <c r="O12" s="153"/>
      <c r="P12" s="153"/>
      <c r="Q12" s="181"/>
      <c r="R12" s="181"/>
      <c r="S12" s="160"/>
      <c r="T12" s="160"/>
      <c r="U12" s="160"/>
    </row>
    <row r="13" spans="1:21" s="3" customFormat="1" ht="26.1" customHeight="1" x14ac:dyDescent="0.25">
      <c r="A13" s="31"/>
      <c r="B13" s="35" t="s">
        <v>344</v>
      </c>
      <c r="C13" s="36" t="s">
        <v>314</v>
      </c>
      <c r="D13" s="14" t="s">
        <v>16</v>
      </c>
      <c r="E13" s="37">
        <v>1</v>
      </c>
      <c r="F13" s="38">
        <v>850000</v>
      </c>
      <c r="G13" s="249">
        <v>0.5</v>
      </c>
      <c r="H13" s="39">
        <f t="shared" si="1"/>
        <v>425000</v>
      </c>
      <c r="I13" s="227">
        <f t="shared" si="0"/>
        <v>425000</v>
      </c>
      <c r="J13" s="174"/>
      <c r="K13" s="153"/>
      <c r="L13" s="153"/>
      <c r="M13" s="153"/>
      <c r="N13" s="153"/>
      <c r="O13" s="153"/>
      <c r="P13" s="153"/>
      <c r="Q13" s="181"/>
      <c r="R13" s="181"/>
      <c r="S13" s="160"/>
      <c r="T13" s="160"/>
      <c r="U13" s="160"/>
    </row>
    <row r="14" spans="1:21" s="3" customFormat="1" ht="26.1" customHeight="1" x14ac:dyDescent="0.25">
      <c r="A14" s="31"/>
      <c r="B14" s="35" t="s">
        <v>335</v>
      </c>
      <c r="C14" s="36" t="s">
        <v>293</v>
      </c>
      <c r="D14" s="14" t="s">
        <v>16</v>
      </c>
      <c r="E14" s="37">
        <v>2</v>
      </c>
      <c r="F14" s="38">
        <v>4500000</v>
      </c>
      <c r="G14" s="249">
        <v>0.5</v>
      </c>
      <c r="H14" s="39">
        <f t="shared" si="1"/>
        <v>4500000</v>
      </c>
      <c r="I14" s="227">
        <f t="shared" si="0"/>
        <v>4500000</v>
      </c>
      <c r="J14" s="174"/>
      <c r="K14" s="153"/>
      <c r="L14" s="153"/>
      <c r="M14" s="153"/>
      <c r="N14" s="153"/>
      <c r="O14" s="153"/>
      <c r="P14" s="153"/>
      <c r="Q14" s="181"/>
      <c r="R14" s="181"/>
      <c r="S14" s="160"/>
      <c r="T14" s="160"/>
      <c r="U14" s="160"/>
    </row>
    <row r="15" spans="1:21" s="3" customFormat="1" ht="26.1" customHeight="1" x14ac:dyDescent="0.25">
      <c r="A15" s="31"/>
      <c r="B15" s="35" t="s">
        <v>336</v>
      </c>
      <c r="C15" s="36" t="s">
        <v>309</v>
      </c>
      <c r="D15" s="14" t="s">
        <v>126</v>
      </c>
      <c r="E15" s="37">
        <v>10</v>
      </c>
      <c r="F15" s="38">
        <v>150000</v>
      </c>
      <c r="G15" s="249">
        <v>0.5</v>
      </c>
      <c r="H15" s="39">
        <f t="shared" si="1"/>
        <v>750000</v>
      </c>
      <c r="I15" s="227">
        <f t="shared" si="0"/>
        <v>750000</v>
      </c>
      <c r="J15" s="174"/>
      <c r="K15" s="153"/>
      <c r="L15" s="153"/>
      <c r="M15" s="153"/>
      <c r="N15" s="153"/>
      <c r="O15" s="153"/>
      <c r="P15" s="153"/>
      <c r="Q15" s="181"/>
      <c r="R15" s="181"/>
      <c r="S15" s="160"/>
      <c r="T15" s="160"/>
      <c r="U15" s="160"/>
    </row>
    <row r="16" spans="1:21" s="3" customFormat="1" ht="26.1" customHeight="1" x14ac:dyDescent="0.25">
      <c r="A16" s="31"/>
      <c r="B16" s="35" t="s">
        <v>141</v>
      </c>
      <c r="C16" s="36" t="s">
        <v>330</v>
      </c>
      <c r="D16" s="14" t="s">
        <v>13</v>
      </c>
      <c r="E16" s="37">
        <v>3</v>
      </c>
      <c r="F16" s="38">
        <v>12500</v>
      </c>
      <c r="G16" s="249">
        <v>0.5</v>
      </c>
      <c r="H16" s="39">
        <f t="shared" si="1"/>
        <v>19000</v>
      </c>
      <c r="I16" s="227">
        <f t="shared" si="0"/>
        <v>19000</v>
      </c>
      <c r="J16" s="174"/>
      <c r="K16" s="153"/>
      <c r="L16" s="153"/>
      <c r="M16" s="153"/>
      <c r="N16" s="153"/>
      <c r="O16" s="153"/>
      <c r="P16" s="153"/>
      <c r="Q16" s="181"/>
      <c r="R16" s="181"/>
      <c r="S16" s="160"/>
      <c r="T16" s="160"/>
      <c r="U16" s="160"/>
    </row>
    <row r="17" spans="1:21" s="10" customFormat="1" ht="26.1" customHeight="1" x14ac:dyDescent="0.25">
      <c r="A17" s="102">
        <v>2</v>
      </c>
      <c r="B17" s="460" t="s">
        <v>143</v>
      </c>
      <c r="C17" s="461"/>
      <c r="D17" s="461"/>
      <c r="E17" s="461"/>
      <c r="F17" s="462"/>
      <c r="G17" s="248"/>
      <c r="H17" s="111">
        <f>SUM(H18:H20)</f>
        <v>5240000</v>
      </c>
      <c r="I17" s="227">
        <f t="shared" si="0"/>
        <v>0</v>
      </c>
      <c r="J17" s="211"/>
      <c r="K17" s="169"/>
      <c r="L17" s="169"/>
      <c r="M17" s="169"/>
      <c r="N17" s="169"/>
      <c r="O17" s="169"/>
      <c r="P17" s="169"/>
      <c r="Q17" s="212"/>
      <c r="R17" s="212"/>
      <c r="S17" s="170"/>
      <c r="T17" s="170"/>
      <c r="U17" s="170"/>
    </row>
    <row r="18" spans="1:21" s="3" customFormat="1" ht="26.1" customHeight="1" x14ac:dyDescent="0.25">
      <c r="A18" s="31"/>
      <c r="B18" s="35" t="s">
        <v>335</v>
      </c>
      <c r="C18" s="36" t="s">
        <v>293</v>
      </c>
      <c r="D18" s="14" t="s">
        <v>16</v>
      </c>
      <c r="E18" s="37">
        <v>1</v>
      </c>
      <c r="F18" s="38">
        <v>4500000</v>
      </c>
      <c r="G18" s="249">
        <v>1</v>
      </c>
      <c r="H18" s="39">
        <f t="shared" si="1"/>
        <v>4500000</v>
      </c>
      <c r="I18" s="227">
        <f t="shared" si="0"/>
        <v>4500000</v>
      </c>
      <c r="J18" s="174"/>
      <c r="K18" s="153"/>
      <c r="L18" s="153"/>
      <c r="M18" s="153"/>
      <c r="N18" s="153"/>
      <c r="O18" s="153"/>
      <c r="P18" s="153"/>
      <c r="Q18" s="181"/>
      <c r="R18" s="181"/>
      <c r="S18" s="160"/>
      <c r="T18" s="160"/>
      <c r="U18" s="160"/>
    </row>
    <row r="19" spans="1:21" s="3" customFormat="1" ht="26.1" customHeight="1" x14ac:dyDescent="0.25">
      <c r="A19" s="31"/>
      <c r="B19" s="35" t="s">
        <v>345</v>
      </c>
      <c r="C19" s="36" t="s">
        <v>315</v>
      </c>
      <c r="D19" s="14" t="s">
        <v>16</v>
      </c>
      <c r="E19" s="37">
        <v>1</v>
      </c>
      <c r="F19" s="38">
        <v>240000</v>
      </c>
      <c r="G19" s="249">
        <v>1</v>
      </c>
      <c r="H19" s="39">
        <f t="shared" si="1"/>
        <v>240000</v>
      </c>
      <c r="I19" s="227">
        <f t="shared" si="0"/>
        <v>240000</v>
      </c>
      <c r="J19" s="174"/>
      <c r="K19" s="153"/>
      <c r="L19" s="153"/>
      <c r="M19" s="153"/>
      <c r="N19" s="153"/>
      <c r="O19" s="153"/>
      <c r="P19" s="153"/>
      <c r="Q19" s="181"/>
      <c r="R19" s="181"/>
      <c r="S19" s="160"/>
      <c r="T19" s="160"/>
      <c r="U19" s="160"/>
    </row>
    <row r="20" spans="1:21" s="3" customFormat="1" ht="26.1" customHeight="1" x14ac:dyDescent="0.25">
      <c r="A20" s="31"/>
      <c r="B20" s="35" t="s">
        <v>346</v>
      </c>
      <c r="C20" s="36" t="s">
        <v>299</v>
      </c>
      <c r="D20" s="14" t="s">
        <v>16</v>
      </c>
      <c r="E20" s="37">
        <v>1</v>
      </c>
      <c r="F20" s="38">
        <v>500000</v>
      </c>
      <c r="G20" s="249">
        <v>1</v>
      </c>
      <c r="H20" s="39">
        <f t="shared" si="1"/>
        <v>500000</v>
      </c>
      <c r="I20" s="227">
        <f t="shared" si="0"/>
        <v>500000</v>
      </c>
      <c r="J20" s="174"/>
      <c r="K20" s="153"/>
      <c r="L20" s="153"/>
      <c r="M20" s="153"/>
      <c r="N20" s="153"/>
      <c r="O20" s="153"/>
      <c r="P20" s="153"/>
      <c r="Q20" s="181"/>
      <c r="R20" s="181"/>
      <c r="S20" s="160"/>
      <c r="T20" s="160"/>
      <c r="U20" s="160"/>
    </row>
    <row r="21" spans="1:21" s="3" customFormat="1" ht="34.5" customHeight="1" x14ac:dyDescent="0.25">
      <c r="A21" s="97" t="s">
        <v>61</v>
      </c>
      <c r="B21" s="433" t="s">
        <v>372</v>
      </c>
      <c r="C21" s="433"/>
      <c r="D21" s="433"/>
      <c r="E21" s="433"/>
      <c r="F21" s="433"/>
      <c r="G21" s="433"/>
      <c r="H21" s="82">
        <f>H22+H114+H118+H135+H137+H142+H153+H156</f>
        <v>818432000</v>
      </c>
      <c r="I21" s="227">
        <f t="shared" si="0"/>
        <v>0</v>
      </c>
      <c r="J21" s="174"/>
      <c r="K21" s="153"/>
      <c r="L21" s="153"/>
      <c r="M21" s="153"/>
      <c r="N21" s="153"/>
      <c r="O21" s="153"/>
      <c r="P21" s="153">
        <f>H21</f>
        <v>818432000</v>
      </c>
      <c r="Q21" s="181"/>
      <c r="R21" s="181"/>
      <c r="S21" s="160"/>
      <c r="T21" s="160"/>
      <c r="U21" s="160"/>
    </row>
    <row r="22" spans="1:21" s="6" customFormat="1" ht="52.9" customHeight="1" x14ac:dyDescent="0.25">
      <c r="A22" s="69">
        <v>1</v>
      </c>
      <c r="B22" s="434" t="s">
        <v>347</v>
      </c>
      <c r="C22" s="434"/>
      <c r="D22" s="434"/>
      <c r="E22" s="434"/>
      <c r="F22" s="434"/>
      <c r="G22" s="110"/>
      <c r="H22" s="29">
        <f>SUM(H23:H113)</f>
        <v>644658000</v>
      </c>
      <c r="I22" s="227">
        <f t="shared" si="0"/>
        <v>0</v>
      </c>
      <c r="J22" s="202"/>
      <c r="K22" s="202"/>
      <c r="L22" s="202"/>
      <c r="M22" s="202"/>
      <c r="N22" s="202"/>
      <c r="O22" s="203"/>
      <c r="P22" s="204"/>
      <c r="Q22" s="163"/>
      <c r="R22" s="163"/>
      <c r="S22" s="164"/>
      <c r="T22" s="164"/>
      <c r="U22" s="164"/>
    </row>
    <row r="23" spans="1:21" s="3" customFormat="1" ht="25.9" customHeight="1" x14ac:dyDescent="0.25">
      <c r="A23" s="12"/>
      <c r="B23" s="68" t="s">
        <v>144</v>
      </c>
      <c r="C23" s="23" t="s">
        <v>348</v>
      </c>
      <c r="D23" s="14" t="s">
        <v>13</v>
      </c>
      <c r="E23" s="15">
        <f>13*7.1+3.1*1.1</f>
        <v>95.71</v>
      </c>
      <c r="F23" s="16">
        <v>4466728</v>
      </c>
      <c r="G23" s="17">
        <v>1</v>
      </c>
      <c r="H23" s="18">
        <f t="shared" ref="H23:H27" si="2">ROUND(E23*F23*G23,-3)</f>
        <v>427511000</v>
      </c>
      <c r="I23" s="227">
        <f t="shared" si="0"/>
        <v>427511000</v>
      </c>
      <c r="J23" s="174"/>
      <c r="K23" s="153"/>
      <c r="L23" s="153"/>
      <c r="M23" s="153"/>
      <c r="N23" s="153"/>
      <c r="O23" s="153"/>
      <c r="P23" s="153"/>
      <c r="Q23" s="181"/>
      <c r="R23" s="181"/>
      <c r="S23" s="160"/>
      <c r="T23" s="160"/>
      <c r="U23" s="160"/>
    </row>
    <row r="24" spans="1:21" s="3" customFormat="1" ht="25.9" customHeight="1" x14ac:dyDescent="0.25">
      <c r="A24" s="12" t="s">
        <v>145</v>
      </c>
      <c r="B24" s="441" t="s">
        <v>146</v>
      </c>
      <c r="C24" s="442"/>
      <c r="D24" s="442"/>
      <c r="E24" s="442"/>
      <c r="F24" s="443"/>
      <c r="G24" s="244"/>
      <c r="H24" s="18"/>
      <c r="I24" s="227">
        <f t="shared" si="0"/>
        <v>0</v>
      </c>
      <c r="J24" s="174"/>
      <c r="K24" s="153"/>
      <c r="L24" s="153"/>
      <c r="M24" s="153"/>
      <c r="N24" s="153"/>
      <c r="O24" s="153"/>
      <c r="P24" s="153"/>
      <c r="Q24" s="153"/>
      <c r="R24" s="153"/>
      <c r="S24" s="160"/>
      <c r="T24" s="160"/>
      <c r="U24" s="160"/>
    </row>
    <row r="25" spans="1:21" s="3" customFormat="1" ht="31.15" customHeight="1" x14ac:dyDescent="0.25">
      <c r="A25" s="12"/>
      <c r="B25" s="68" t="s">
        <v>147</v>
      </c>
      <c r="C25" s="23" t="s">
        <v>316</v>
      </c>
      <c r="D25" s="14" t="s">
        <v>13</v>
      </c>
      <c r="E25" s="15">
        <f>5.4*4.2+3.8*3.3</f>
        <v>35.22</v>
      </c>
      <c r="F25" s="16">
        <v>391177</v>
      </c>
      <c r="G25" s="17">
        <v>1</v>
      </c>
      <c r="H25" s="18">
        <f t="shared" si="2"/>
        <v>13777000</v>
      </c>
      <c r="I25" s="227">
        <f t="shared" si="0"/>
        <v>13777000</v>
      </c>
      <c r="J25" s="174"/>
      <c r="K25" s="153"/>
      <c r="L25" s="153"/>
      <c r="M25" s="153"/>
      <c r="N25" s="153"/>
      <c r="O25" s="153"/>
      <c r="P25" s="153"/>
      <c r="Q25" s="153"/>
      <c r="R25" s="153"/>
      <c r="S25" s="160"/>
      <c r="T25" s="160"/>
      <c r="U25" s="160"/>
    </row>
    <row r="26" spans="1:21" s="3" customFormat="1" ht="31.15" customHeight="1" x14ac:dyDescent="0.25">
      <c r="A26" s="12"/>
      <c r="B26" s="68" t="s">
        <v>148</v>
      </c>
      <c r="C26" s="23" t="s">
        <v>317</v>
      </c>
      <c r="D26" s="14" t="s">
        <v>13</v>
      </c>
      <c r="E26" s="15">
        <f>16.1*0.6</f>
        <v>9.66</v>
      </c>
      <c r="F26" s="16">
        <v>460385</v>
      </c>
      <c r="G26" s="17">
        <v>1</v>
      </c>
      <c r="H26" s="18">
        <f t="shared" si="2"/>
        <v>4447000</v>
      </c>
      <c r="I26" s="227">
        <f t="shared" si="0"/>
        <v>4447000</v>
      </c>
      <c r="J26" s="174"/>
      <c r="K26" s="153"/>
      <c r="L26" s="153"/>
      <c r="M26" s="153"/>
      <c r="N26" s="153"/>
      <c r="O26" s="153"/>
      <c r="P26" s="153"/>
      <c r="Q26" s="153"/>
      <c r="R26" s="153"/>
      <c r="S26" s="160"/>
      <c r="T26" s="160"/>
      <c r="U26" s="160"/>
    </row>
    <row r="27" spans="1:21" s="19" customFormat="1" ht="31.15" customHeight="1" x14ac:dyDescent="0.25">
      <c r="A27" s="12"/>
      <c r="B27" s="68" t="s">
        <v>149</v>
      </c>
      <c r="C27" s="23" t="s">
        <v>230</v>
      </c>
      <c r="D27" s="14" t="s">
        <v>13</v>
      </c>
      <c r="E27" s="15">
        <f>2.7*2.55</f>
        <v>6.8849999999999998</v>
      </c>
      <c r="F27" s="16">
        <v>1800000</v>
      </c>
      <c r="G27" s="17">
        <v>1</v>
      </c>
      <c r="H27" s="18">
        <f t="shared" si="2"/>
        <v>12393000</v>
      </c>
      <c r="I27" s="227">
        <f t="shared" si="0"/>
        <v>12393000</v>
      </c>
      <c r="J27" s="200"/>
      <c r="K27" s="161"/>
      <c r="L27" s="161"/>
      <c r="M27" s="161"/>
      <c r="N27" s="161"/>
      <c r="O27" s="161"/>
      <c r="P27" s="161"/>
      <c r="Q27" s="161"/>
      <c r="R27" s="161"/>
      <c r="S27" s="162"/>
      <c r="T27" s="162"/>
      <c r="U27" s="162"/>
    </row>
    <row r="28" spans="1:21" s="19" customFormat="1" ht="31.15" customHeight="1" x14ac:dyDescent="0.25">
      <c r="A28" s="12"/>
      <c r="B28" s="13" t="s">
        <v>231</v>
      </c>
      <c r="C28" s="23" t="s">
        <v>230</v>
      </c>
      <c r="D28" s="14" t="s">
        <v>34</v>
      </c>
      <c r="E28" s="15">
        <v>7.8</v>
      </c>
      <c r="F28" s="16">
        <v>800000</v>
      </c>
      <c r="G28" s="17">
        <v>1</v>
      </c>
      <c r="H28" s="18">
        <f>ROUND(E28*F28*G28,-3)</f>
        <v>6240000</v>
      </c>
      <c r="I28" s="227">
        <f t="shared" si="0"/>
        <v>6240000</v>
      </c>
      <c r="J28" s="200"/>
      <c r="K28" s="161"/>
      <c r="L28" s="161"/>
      <c r="M28" s="161"/>
      <c r="N28" s="161"/>
      <c r="O28" s="161"/>
      <c r="P28" s="161"/>
      <c r="Q28" s="161"/>
      <c r="R28" s="161"/>
      <c r="S28" s="162"/>
      <c r="T28" s="162"/>
      <c r="U28" s="162"/>
    </row>
    <row r="29" spans="1:21" s="19" customFormat="1" ht="31.15" customHeight="1" x14ac:dyDescent="0.25">
      <c r="A29" s="12"/>
      <c r="B29" s="13" t="s">
        <v>150</v>
      </c>
      <c r="C29" s="23" t="s">
        <v>110</v>
      </c>
      <c r="D29" s="14" t="s">
        <v>13</v>
      </c>
      <c r="E29" s="15">
        <f>E27</f>
        <v>6.8849999999999998</v>
      </c>
      <c r="F29" s="16">
        <v>1100000</v>
      </c>
      <c r="G29" s="17">
        <v>1</v>
      </c>
      <c r="H29" s="18">
        <f t="shared" ref="H29:H39" si="3">ROUND(E29*F29*G29,-3)</f>
        <v>7574000</v>
      </c>
      <c r="I29" s="227">
        <f t="shared" si="0"/>
        <v>7574000</v>
      </c>
      <c r="J29" s="200"/>
      <c r="K29" s="161"/>
      <c r="L29" s="161"/>
      <c r="M29" s="161"/>
      <c r="N29" s="161"/>
      <c r="O29" s="161"/>
      <c r="P29" s="161"/>
      <c r="Q29" s="161"/>
      <c r="R29" s="161"/>
      <c r="S29" s="162"/>
      <c r="T29" s="162"/>
      <c r="U29" s="162"/>
    </row>
    <row r="30" spans="1:21" s="19" customFormat="1" ht="31.15" customHeight="1" x14ac:dyDescent="0.25">
      <c r="A30" s="12"/>
      <c r="B30" s="68" t="s">
        <v>151</v>
      </c>
      <c r="C30" s="23" t="s">
        <v>230</v>
      </c>
      <c r="D30" s="14" t="s">
        <v>13</v>
      </c>
      <c r="E30" s="15">
        <f>1.25*2</f>
        <v>2.5</v>
      </c>
      <c r="F30" s="16">
        <v>1400000</v>
      </c>
      <c r="G30" s="17">
        <v>1</v>
      </c>
      <c r="H30" s="18">
        <f t="shared" si="3"/>
        <v>3500000</v>
      </c>
      <c r="I30" s="227">
        <f t="shared" si="0"/>
        <v>3500000</v>
      </c>
      <c r="J30" s="200"/>
      <c r="K30" s="161"/>
      <c r="L30" s="161"/>
      <c r="M30" s="161"/>
      <c r="N30" s="161"/>
      <c r="O30" s="161"/>
      <c r="P30" s="161"/>
      <c r="Q30" s="161"/>
      <c r="R30" s="161"/>
      <c r="S30" s="162"/>
      <c r="T30" s="162"/>
      <c r="U30" s="162"/>
    </row>
    <row r="31" spans="1:21" s="19" customFormat="1" ht="31.15" customHeight="1" x14ac:dyDescent="0.25">
      <c r="A31" s="12"/>
      <c r="B31" s="13" t="s">
        <v>152</v>
      </c>
      <c r="C31" s="23" t="s">
        <v>349</v>
      </c>
      <c r="D31" s="14" t="s">
        <v>13</v>
      </c>
      <c r="E31" s="15">
        <f>(1.25+(2*2))*0.2</f>
        <v>1.05</v>
      </c>
      <c r="F31" s="16">
        <v>478888</v>
      </c>
      <c r="G31" s="17">
        <v>1</v>
      </c>
      <c r="H31" s="18">
        <f t="shared" si="3"/>
        <v>503000</v>
      </c>
      <c r="I31" s="227">
        <f t="shared" si="0"/>
        <v>503000</v>
      </c>
      <c r="J31" s="200"/>
      <c r="K31" s="161"/>
      <c r="L31" s="161"/>
      <c r="M31" s="161"/>
      <c r="N31" s="161"/>
      <c r="O31" s="161"/>
      <c r="P31" s="161"/>
      <c r="Q31" s="161"/>
      <c r="R31" s="161"/>
      <c r="S31" s="162"/>
      <c r="T31" s="162"/>
      <c r="U31" s="162"/>
    </row>
    <row r="32" spans="1:21" s="19" customFormat="1" ht="31.15" customHeight="1" x14ac:dyDescent="0.25">
      <c r="A32" s="12"/>
      <c r="B32" s="68" t="s">
        <v>153</v>
      </c>
      <c r="C32" s="23" t="s">
        <v>230</v>
      </c>
      <c r="D32" s="14" t="s">
        <v>13</v>
      </c>
      <c r="E32" s="15">
        <f>1.1*1.6</f>
        <v>1.7600000000000002</v>
      </c>
      <c r="F32" s="16">
        <v>1250000</v>
      </c>
      <c r="G32" s="17">
        <v>1</v>
      </c>
      <c r="H32" s="18">
        <f t="shared" si="3"/>
        <v>2200000</v>
      </c>
      <c r="I32" s="227">
        <f t="shared" si="0"/>
        <v>2200000</v>
      </c>
      <c r="J32" s="200"/>
      <c r="K32" s="161"/>
      <c r="L32" s="161"/>
      <c r="M32" s="161"/>
      <c r="N32" s="161"/>
      <c r="O32" s="161"/>
      <c r="P32" s="161"/>
      <c r="Q32" s="161"/>
      <c r="R32" s="161"/>
      <c r="S32" s="162"/>
      <c r="T32" s="162"/>
      <c r="U32" s="162"/>
    </row>
    <row r="33" spans="1:21" s="19" customFormat="1" ht="31.15" customHeight="1" x14ac:dyDescent="0.25">
      <c r="A33" s="12"/>
      <c r="B33" s="13" t="s">
        <v>154</v>
      </c>
      <c r="C33" s="23" t="s">
        <v>110</v>
      </c>
      <c r="D33" s="14" t="s">
        <v>155</v>
      </c>
      <c r="E33" s="15">
        <v>9</v>
      </c>
      <c r="F33" s="16">
        <v>100000</v>
      </c>
      <c r="G33" s="17">
        <v>1</v>
      </c>
      <c r="H33" s="18">
        <f t="shared" si="3"/>
        <v>900000</v>
      </c>
      <c r="I33" s="227">
        <f t="shared" si="0"/>
        <v>900000</v>
      </c>
      <c r="J33" s="200"/>
      <c r="K33" s="161"/>
      <c r="L33" s="161"/>
      <c r="M33" s="161"/>
      <c r="N33" s="161"/>
      <c r="O33" s="161"/>
      <c r="P33" s="161"/>
      <c r="Q33" s="161"/>
      <c r="R33" s="161"/>
      <c r="S33" s="162"/>
      <c r="T33" s="162"/>
      <c r="U33" s="162"/>
    </row>
    <row r="34" spans="1:21" s="19" customFormat="1" ht="31.15" customHeight="1" x14ac:dyDescent="0.25">
      <c r="A34" s="12"/>
      <c r="B34" s="13" t="s">
        <v>152</v>
      </c>
      <c r="C34" s="23" t="s">
        <v>349</v>
      </c>
      <c r="D34" s="14" t="s">
        <v>13</v>
      </c>
      <c r="E34" s="15">
        <f>(1.1+1.6)*2*0.2</f>
        <v>1.08</v>
      </c>
      <c r="F34" s="16">
        <v>478888</v>
      </c>
      <c r="G34" s="17">
        <v>1</v>
      </c>
      <c r="H34" s="18">
        <f t="shared" si="3"/>
        <v>517000</v>
      </c>
      <c r="I34" s="227">
        <f t="shared" si="0"/>
        <v>517000</v>
      </c>
      <c r="J34" s="200"/>
      <c r="K34" s="161"/>
      <c r="L34" s="161"/>
      <c r="M34" s="161"/>
      <c r="N34" s="161"/>
      <c r="O34" s="161"/>
      <c r="P34" s="161"/>
      <c r="Q34" s="161"/>
      <c r="R34" s="161"/>
      <c r="S34" s="162"/>
      <c r="T34" s="162"/>
      <c r="U34" s="162"/>
    </row>
    <row r="35" spans="1:21" s="19" customFormat="1" ht="31.15" customHeight="1" x14ac:dyDescent="0.25">
      <c r="A35" s="12"/>
      <c r="B35" s="68" t="s">
        <v>156</v>
      </c>
      <c r="C35" s="23" t="s">
        <v>110</v>
      </c>
      <c r="D35" s="14" t="s">
        <v>13</v>
      </c>
      <c r="E35" s="15">
        <f>1.1*1.6</f>
        <v>1.7600000000000002</v>
      </c>
      <c r="F35" s="16">
        <v>1300000</v>
      </c>
      <c r="G35" s="17">
        <v>1</v>
      </c>
      <c r="H35" s="18">
        <f t="shared" si="3"/>
        <v>2288000</v>
      </c>
      <c r="I35" s="227">
        <f t="shared" si="0"/>
        <v>2288000</v>
      </c>
      <c r="J35" s="200"/>
      <c r="K35" s="161"/>
      <c r="L35" s="161"/>
      <c r="M35" s="161"/>
      <c r="N35" s="161"/>
      <c r="O35" s="161"/>
      <c r="P35" s="161"/>
      <c r="Q35" s="161"/>
      <c r="R35" s="161"/>
      <c r="S35" s="162"/>
      <c r="T35" s="162"/>
      <c r="U35" s="162"/>
    </row>
    <row r="36" spans="1:21" s="19" customFormat="1" ht="31.15" customHeight="1" x14ac:dyDescent="0.25">
      <c r="A36" s="12"/>
      <c r="B36" s="13" t="s">
        <v>157</v>
      </c>
      <c r="C36" s="112" t="s">
        <v>394</v>
      </c>
      <c r="D36" s="14" t="s">
        <v>13</v>
      </c>
      <c r="E36" s="15">
        <f>1.1*1.6</f>
        <v>1.7600000000000002</v>
      </c>
      <c r="F36" s="16">
        <v>2216609</v>
      </c>
      <c r="G36" s="17">
        <v>1</v>
      </c>
      <c r="H36" s="18">
        <f t="shared" si="3"/>
        <v>3901000</v>
      </c>
      <c r="I36" s="227">
        <f t="shared" si="0"/>
        <v>3901000</v>
      </c>
      <c r="J36" s="200"/>
      <c r="K36" s="161"/>
      <c r="L36" s="161"/>
      <c r="M36" s="161"/>
      <c r="N36" s="161"/>
      <c r="O36" s="161"/>
      <c r="P36" s="161"/>
      <c r="Q36" s="161"/>
      <c r="R36" s="161"/>
      <c r="S36" s="162"/>
      <c r="T36" s="162"/>
      <c r="U36" s="162"/>
    </row>
    <row r="37" spans="1:21" s="19" customFormat="1" ht="31.15" customHeight="1" x14ac:dyDescent="0.25">
      <c r="A37" s="12"/>
      <c r="B37" s="13" t="s">
        <v>152</v>
      </c>
      <c r="C37" s="23" t="s">
        <v>349</v>
      </c>
      <c r="D37" s="14" t="s">
        <v>13</v>
      </c>
      <c r="E37" s="15">
        <f>(1.1+1.6)*2*0.2</f>
        <v>1.08</v>
      </c>
      <c r="F37" s="16">
        <v>478888</v>
      </c>
      <c r="G37" s="17">
        <v>1</v>
      </c>
      <c r="H37" s="18">
        <f t="shared" si="3"/>
        <v>517000</v>
      </c>
      <c r="I37" s="227">
        <f t="shared" si="0"/>
        <v>517000</v>
      </c>
      <c r="J37" s="200"/>
      <c r="K37" s="161"/>
      <c r="L37" s="161"/>
      <c r="M37" s="161"/>
      <c r="N37" s="161"/>
      <c r="O37" s="161"/>
      <c r="P37" s="161"/>
      <c r="Q37" s="161"/>
      <c r="R37" s="161"/>
      <c r="S37" s="162"/>
      <c r="T37" s="162"/>
      <c r="U37" s="162"/>
    </row>
    <row r="38" spans="1:21" s="19" customFormat="1" ht="31.15" customHeight="1" x14ac:dyDescent="0.25">
      <c r="A38" s="12"/>
      <c r="B38" s="68" t="s">
        <v>158</v>
      </c>
      <c r="C38" s="23" t="s">
        <v>110</v>
      </c>
      <c r="D38" s="14" t="s">
        <v>13</v>
      </c>
      <c r="E38" s="15">
        <f>0.85*2.25</f>
        <v>1.9124999999999999</v>
      </c>
      <c r="F38" s="16">
        <v>1050000</v>
      </c>
      <c r="G38" s="17">
        <v>1</v>
      </c>
      <c r="H38" s="18">
        <f t="shared" si="3"/>
        <v>2008000</v>
      </c>
      <c r="I38" s="227">
        <f t="shared" si="0"/>
        <v>2008000</v>
      </c>
      <c r="J38" s="200"/>
      <c r="K38" s="161"/>
      <c r="L38" s="161"/>
      <c r="M38" s="161"/>
      <c r="N38" s="161"/>
      <c r="O38" s="161"/>
      <c r="P38" s="161"/>
      <c r="Q38" s="161"/>
      <c r="R38" s="161"/>
      <c r="S38" s="162"/>
      <c r="T38" s="162"/>
      <c r="U38" s="162"/>
    </row>
    <row r="39" spans="1:21" s="19" customFormat="1" ht="31.15" customHeight="1" x14ac:dyDescent="0.25">
      <c r="A39" s="12"/>
      <c r="B39" s="68" t="s">
        <v>159</v>
      </c>
      <c r="C39" s="23" t="s">
        <v>350</v>
      </c>
      <c r="D39" s="14" t="s">
        <v>13</v>
      </c>
      <c r="E39" s="15">
        <f>((5.4*4.2)+(3.8*3.3))+((5.4*2+4.2+3.8+3.3*2+0.4*2)*3.2-((2.7*2.55)+(1.25*2)+(3.1*3.2)+(1.1*1.6*2)+(0.85*2.25*2)))</f>
        <v>92.41</v>
      </c>
      <c r="F39" s="16">
        <v>58021</v>
      </c>
      <c r="G39" s="17">
        <v>1</v>
      </c>
      <c r="H39" s="18">
        <f t="shared" si="3"/>
        <v>5362000</v>
      </c>
      <c r="I39" s="227">
        <f t="shared" si="0"/>
        <v>5362000</v>
      </c>
      <c r="J39" s="200"/>
      <c r="K39" s="161"/>
      <c r="L39" s="161"/>
      <c r="M39" s="161"/>
      <c r="N39" s="161"/>
      <c r="O39" s="161"/>
      <c r="P39" s="161"/>
      <c r="Q39" s="161"/>
      <c r="R39" s="161"/>
      <c r="S39" s="162"/>
      <c r="T39" s="162"/>
      <c r="U39" s="162"/>
    </row>
    <row r="40" spans="1:21" s="19" customFormat="1" ht="25.9" customHeight="1" x14ac:dyDescent="0.25">
      <c r="A40" s="12" t="s">
        <v>145</v>
      </c>
      <c r="B40" s="441" t="s">
        <v>160</v>
      </c>
      <c r="C40" s="442"/>
      <c r="D40" s="442"/>
      <c r="E40" s="442"/>
      <c r="F40" s="443"/>
      <c r="G40" s="244"/>
      <c r="H40" s="18"/>
      <c r="I40" s="227">
        <f t="shared" si="0"/>
        <v>0</v>
      </c>
      <c r="J40" s="200"/>
      <c r="K40" s="161"/>
      <c r="L40" s="161"/>
      <c r="M40" s="161"/>
      <c r="N40" s="161"/>
      <c r="O40" s="161"/>
      <c r="P40" s="161"/>
      <c r="Q40" s="161"/>
      <c r="R40" s="161"/>
      <c r="S40" s="162"/>
      <c r="T40" s="162"/>
      <c r="U40" s="162"/>
    </row>
    <row r="41" spans="1:21" s="19" customFormat="1" ht="31.15" customHeight="1" x14ac:dyDescent="0.25">
      <c r="A41" s="12"/>
      <c r="B41" s="68" t="s">
        <v>263</v>
      </c>
      <c r="C41" s="23" t="s">
        <v>316</v>
      </c>
      <c r="D41" s="14" t="s">
        <v>13</v>
      </c>
      <c r="E41" s="15">
        <f>3.1*1.1</f>
        <v>3.4100000000000006</v>
      </c>
      <c r="F41" s="16">
        <v>391177</v>
      </c>
      <c r="G41" s="17">
        <v>1</v>
      </c>
      <c r="H41" s="18">
        <f t="shared" ref="H41" si="4">ROUND(E41*F41*G41,-3)</f>
        <v>1334000</v>
      </c>
      <c r="I41" s="227">
        <f t="shared" si="0"/>
        <v>1334000</v>
      </c>
      <c r="J41" s="200"/>
      <c r="K41" s="161"/>
      <c r="L41" s="161"/>
      <c r="M41" s="161"/>
      <c r="N41" s="161"/>
      <c r="O41" s="161"/>
      <c r="P41" s="161"/>
      <c r="Q41" s="161"/>
      <c r="R41" s="161"/>
      <c r="S41" s="162"/>
      <c r="T41" s="162"/>
      <c r="U41" s="162"/>
    </row>
    <row r="42" spans="1:21" s="19" customFormat="1" ht="35.25" customHeight="1" x14ac:dyDescent="0.25">
      <c r="A42" s="14"/>
      <c r="B42" s="444" t="s">
        <v>264</v>
      </c>
      <c r="C42" s="444"/>
      <c r="D42" s="444"/>
      <c r="E42" s="444"/>
      <c r="F42" s="444"/>
      <c r="G42" s="243"/>
      <c r="H42" s="43"/>
      <c r="I42" s="227">
        <f t="shared" si="0"/>
        <v>0</v>
      </c>
      <c r="J42" s="219"/>
      <c r="K42" s="219"/>
      <c r="L42" s="219"/>
      <c r="M42" s="219"/>
      <c r="N42" s="219"/>
      <c r="O42" s="220"/>
      <c r="P42" s="220"/>
      <c r="Q42" s="172"/>
      <c r="R42" s="172"/>
      <c r="S42" s="162"/>
      <c r="T42" s="162"/>
      <c r="U42" s="162"/>
    </row>
    <row r="43" spans="1:21" s="6" customFormat="1" ht="33.75" customHeight="1" x14ac:dyDescent="0.25">
      <c r="A43" s="40"/>
      <c r="B43" s="99" t="s">
        <v>29</v>
      </c>
      <c r="C43" s="41" t="s">
        <v>279</v>
      </c>
      <c r="D43" s="14" t="s">
        <v>14</v>
      </c>
      <c r="E43" s="42">
        <f>1.2*0.9*0.1</f>
        <v>0.10800000000000001</v>
      </c>
      <c r="F43" s="16">
        <v>2687552</v>
      </c>
      <c r="G43" s="243">
        <v>1</v>
      </c>
      <c r="H43" s="43">
        <f t="shared" ref="H43:H50" si="5">ROUND(E43*F43*G43,-3)</f>
        <v>290000</v>
      </c>
      <c r="I43" s="227">
        <f t="shared" si="0"/>
        <v>290000</v>
      </c>
      <c r="J43" s="202"/>
      <c r="K43" s="202"/>
      <c r="L43" s="202"/>
      <c r="M43" s="202"/>
      <c r="N43" s="202"/>
      <c r="O43" s="203"/>
      <c r="P43" s="204"/>
      <c r="Q43" s="158"/>
      <c r="R43" s="158"/>
      <c r="S43" s="164"/>
      <c r="T43" s="164"/>
      <c r="U43" s="164"/>
    </row>
    <row r="44" spans="1:21" s="6" customFormat="1" ht="42.75" customHeight="1" x14ac:dyDescent="0.25">
      <c r="A44" s="40"/>
      <c r="B44" s="100" t="s">
        <v>30</v>
      </c>
      <c r="C44" s="41" t="s">
        <v>280</v>
      </c>
      <c r="D44" s="14" t="s">
        <v>15</v>
      </c>
      <c r="E44" s="42">
        <f>((12*0.9)+(9*1.2))*0.395</f>
        <v>8.5320000000000018</v>
      </c>
      <c r="F44" s="16">
        <v>26982</v>
      </c>
      <c r="G44" s="243">
        <v>1</v>
      </c>
      <c r="H44" s="43">
        <f t="shared" si="5"/>
        <v>230000</v>
      </c>
      <c r="I44" s="227">
        <f t="shared" si="0"/>
        <v>230000</v>
      </c>
      <c r="J44" s="202"/>
      <c r="K44" s="202"/>
      <c r="L44" s="202"/>
      <c r="M44" s="202"/>
      <c r="N44" s="202"/>
      <c r="O44" s="203"/>
      <c r="P44" s="204"/>
      <c r="Q44" s="158"/>
      <c r="R44" s="158"/>
      <c r="S44" s="164"/>
      <c r="T44" s="164"/>
      <c r="U44" s="164"/>
    </row>
    <row r="45" spans="1:21" s="6" customFormat="1" ht="41.25" customHeight="1" x14ac:dyDescent="0.25">
      <c r="A45" s="40"/>
      <c r="B45" s="100" t="s">
        <v>31</v>
      </c>
      <c r="C45" s="41" t="s">
        <v>281</v>
      </c>
      <c r="D45" s="14" t="s">
        <v>13</v>
      </c>
      <c r="E45" s="42">
        <f>(1.2*0.9)+(1.2+0.9)*2*0.1</f>
        <v>1.5</v>
      </c>
      <c r="F45" s="16">
        <v>187964</v>
      </c>
      <c r="G45" s="243">
        <v>1</v>
      </c>
      <c r="H45" s="43">
        <f t="shared" si="5"/>
        <v>282000</v>
      </c>
      <c r="I45" s="227">
        <f t="shared" si="0"/>
        <v>282000</v>
      </c>
      <c r="J45" s="202"/>
      <c r="K45" s="202"/>
      <c r="L45" s="202"/>
      <c r="M45" s="202"/>
      <c r="N45" s="202"/>
      <c r="O45" s="203"/>
      <c r="P45" s="204"/>
      <c r="Q45" s="158"/>
      <c r="R45" s="158"/>
      <c r="S45" s="164"/>
      <c r="T45" s="164"/>
      <c r="U45" s="164"/>
    </row>
    <row r="46" spans="1:21" s="19" customFormat="1" ht="34.9" customHeight="1" x14ac:dyDescent="0.25">
      <c r="A46" s="31"/>
      <c r="B46" s="34" t="s">
        <v>351</v>
      </c>
      <c r="C46" s="33" t="s">
        <v>262</v>
      </c>
      <c r="D46" s="14" t="s">
        <v>14</v>
      </c>
      <c r="E46" s="15">
        <f>4.05*0.11*0.9</f>
        <v>0.40095000000000003</v>
      </c>
      <c r="F46" s="16">
        <v>2218558</v>
      </c>
      <c r="G46" s="17">
        <v>1</v>
      </c>
      <c r="H46" s="18">
        <f t="shared" si="5"/>
        <v>890000</v>
      </c>
      <c r="I46" s="227">
        <f t="shared" si="0"/>
        <v>890000</v>
      </c>
      <c r="J46" s="200"/>
      <c r="K46" s="161"/>
      <c r="L46" s="161"/>
      <c r="M46" s="161"/>
      <c r="N46" s="161"/>
      <c r="O46" s="161"/>
      <c r="P46" s="161"/>
      <c r="Q46" s="201"/>
      <c r="R46" s="201"/>
      <c r="S46" s="162"/>
      <c r="T46" s="162"/>
      <c r="U46" s="162"/>
    </row>
    <row r="47" spans="1:21" s="44" customFormat="1" ht="40.5" customHeight="1" x14ac:dyDescent="0.25">
      <c r="A47" s="40"/>
      <c r="B47" s="35" t="s">
        <v>161</v>
      </c>
      <c r="C47" s="41" t="s">
        <v>276</v>
      </c>
      <c r="D47" s="14" t="s">
        <v>14</v>
      </c>
      <c r="E47" s="42">
        <f>0.25*0.25*0.8*4</f>
        <v>0.2</v>
      </c>
      <c r="F47" s="16">
        <v>2543957</v>
      </c>
      <c r="G47" s="243">
        <v>1</v>
      </c>
      <c r="H47" s="43">
        <f t="shared" si="5"/>
        <v>509000</v>
      </c>
      <c r="I47" s="227">
        <f t="shared" si="0"/>
        <v>509000</v>
      </c>
      <c r="J47" s="207"/>
      <c r="K47" s="207"/>
      <c r="L47" s="207"/>
      <c r="M47" s="207"/>
      <c r="N47" s="207"/>
      <c r="O47" s="208"/>
      <c r="P47" s="208"/>
      <c r="Q47" s="172"/>
      <c r="R47" s="172"/>
      <c r="S47" s="166"/>
      <c r="T47" s="166"/>
      <c r="U47" s="166"/>
    </row>
    <row r="48" spans="1:21" s="19" customFormat="1" ht="31.15" customHeight="1" x14ac:dyDescent="0.25">
      <c r="A48" s="12"/>
      <c r="B48" s="68" t="s">
        <v>162</v>
      </c>
      <c r="C48" s="23" t="s">
        <v>352</v>
      </c>
      <c r="D48" s="14" t="s">
        <v>13</v>
      </c>
      <c r="E48" s="15">
        <f>(1.2*(0.9+0.8))+(1.65*0.8)</f>
        <v>3.3600000000000003</v>
      </c>
      <c r="F48" s="16">
        <v>460385</v>
      </c>
      <c r="G48" s="17">
        <v>1</v>
      </c>
      <c r="H48" s="18">
        <f t="shared" si="5"/>
        <v>1547000</v>
      </c>
      <c r="I48" s="227">
        <f t="shared" si="0"/>
        <v>1547000</v>
      </c>
      <c r="J48" s="200"/>
      <c r="K48" s="161"/>
      <c r="L48" s="161"/>
      <c r="M48" s="161"/>
      <c r="N48" s="161"/>
      <c r="O48" s="161"/>
      <c r="P48" s="161"/>
      <c r="Q48" s="161"/>
      <c r="R48" s="161"/>
      <c r="S48" s="162"/>
      <c r="T48" s="162"/>
      <c r="U48" s="162"/>
    </row>
    <row r="49" spans="1:21" s="19" customFormat="1" ht="31.15" customHeight="1" x14ac:dyDescent="0.25">
      <c r="A49" s="12"/>
      <c r="B49" s="13" t="s">
        <v>175</v>
      </c>
      <c r="C49" s="23" t="s">
        <v>288</v>
      </c>
      <c r="D49" s="14" t="s">
        <v>13</v>
      </c>
      <c r="E49" s="15">
        <f>1.1*2*3.2</f>
        <v>7.0400000000000009</v>
      </c>
      <c r="F49" s="16">
        <v>423906</v>
      </c>
      <c r="G49" s="17">
        <v>1</v>
      </c>
      <c r="H49" s="18">
        <f t="shared" si="5"/>
        <v>2984000</v>
      </c>
      <c r="I49" s="227">
        <f t="shared" si="0"/>
        <v>2984000</v>
      </c>
      <c r="J49" s="200"/>
      <c r="K49" s="161"/>
      <c r="L49" s="161"/>
      <c r="M49" s="161"/>
      <c r="N49" s="161"/>
      <c r="O49" s="161"/>
      <c r="P49" s="161"/>
      <c r="Q49" s="161"/>
      <c r="R49" s="161"/>
      <c r="S49" s="162"/>
      <c r="T49" s="162"/>
      <c r="U49" s="162"/>
    </row>
    <row r="50" spans="1:21" s="19" customFormat="1" ht="31.15" customHeight="1" x14ac:dyDescent="0.25">
      <c r="A50" s="12"/>
      <c r="B50" s="68" t="s">
        <v>159</v>
      </c>
      <c r="C50" s="23" t="s">
        <v>350</v>
      </c>
      <c r="D50" s="14" t="s">
        <v>13</v>
      </c>
      <c r="E50" s="15">
        <f>3.1*1.1</f>
        <v>3.4100000000000006</v>
      </c>
      <c r="F50" s="16">
        <v>58021</v>
      </c>
      <c r="G50" s="17">
        <v>1</v>
      </c>
      <c r="H50" s="18">
        <f t="shared" si="5"/>
        <v>198000</v>
      </c>
      <c r="I50" s="227">
        <f t="shared" si="0"/>
        <v>198000</v>
      </c>
      <c r="J50" s="200"/>
      <c r="K50" s="161"/>
      <c r="L50" s="161"/>
      <c r="M50" s="161"/>
      <c r="N50" s="161"/>
      <c r="O50" s="161"/>
      <c r="P50" s="161"/>
      <c r="Q50" s="161"/>
      <c r="R50" s="161"/>
      <c r="S50" s="162"/>
      <c r="T50" s="162"/>
      <c r="U50" s="162"/>
    </row>
    <row r="51" spans="1:21" s="3" customFormat="1" ht="25.9" customHeight="1" x14ac:dyDescent="0.25">
      <c r="A51" s="12" t="s">
        <v>145</v>
      </c>
      <c r="B51" s="441" t="s">
        <v>163</v>
      </c>
      <c r="C51" s="442"/>
      <c r="D51" s="442"/>
      <c r="E51" s="442"/>
      <c r="F51" s="443"/>
      <c r="G51" s="244"/>
      <c r="H51" s="18"/>
      <c r="I51" s="227">
        <f t="shared" si="0"/>
        <v>0</v>
      </c>
      <c r="J51" s="174"/>
      <c r="K51" s="153"/>
      <c r="L51" s="153"/>
      <c r="M51" s="153"/>
      <c r="N51" s="153"/>
      <c r="O51" s="153"/>
      <c r="P51" s="153"/>
      <c r="Q51" s="153"/>
      <c r="R51" s="153"/>
      <c r="S51" s="160"/>
      <c r="T51" s="160"/>
      <c r="U51" s="160"/>
    </row>
    <row r="52" spans="1:21" s="3" customFormat="1" ht="31.15" customHeight="1" x14ac:dyDescent="0.25">
      <c r="A52" s="12"/>
      <c r="B52" s="68" t="s">
        <v>164</v>
      </c>
      <c r="C52" s="23" t="s">
        <v>316</v>
      </c>
      <c r="D52" s="14" t="s">
        <v>13</v>
      </c>
      <c r="E52" s="15">
        <f>3.4*2.55</f>
        <v>8.67</v>
      </c>
      <c r="F52" s="16">
        <v>391177</v>
      </c>
      <c r="G52" s="17">
        <v>1</v>
      </c>
      <c r="H52" s="18">
        <f t="shared" ref="H52:H59" si="6">ROUND(E52*F52*G52,-3)</f>
        <v>3392000</v>
      </c>
      <c r="I52" s="227">
        <f t="shared" si="0"/>
        <v>3392000</v>
      </c>
      <c r="J52" s="174"/>
      <c r="K52" s="153"/>
      <c r="L52" s="153"/>
      <c r="M52" s="153"/>
      <c r="N52" s="153"/>
      <c r="O52" s="153"/>
      <c r="P52" s="153"/>
      <c r="Q52" s="153"/>
      <c r="R52" s="153"/>
      <c r="S52" s="160"/>
      <c r="T52" s="160"/>
      <c r="U52" s="160"/>
    </row>
    <row r="53" spans="1:21" s="3" customFormat="1" ht="31.15" customHeight="1" x14ac:dyDescent="0.25">
      <c r="A53" s="12"/>
      <c r="B53" s="68" t="s">
        <v>165</v>
      </c>
      <c r="C53" s="23" t="s">
        <v>317</v>
      </c>
      <c r="D53" s="14" t="s">
        <v>13</v>
      </c>
      <c r="E53" s="15">
        <f>((3.4+2.55)*2-0.85)*0.6</f>
        <v>6.629999999999999</v>
      </c>
      <c r="F53" s="16">
        <v>460385</v>
      </c>
      <c r="G53" s="17">
        <v>1</v>
      </c>
      <c r="H53" s="18">
        <f t="shared" si="6"/>
        <v>3052000</v>
      </c>
      <c r="I53" s="227">
        <f t="shared" si="0"/>
        <v>3052000</v>
      </c>
      <c r="J53" s="174"/>
      <c r="K53" s="153"/>
      <c r="L53" s="153"/>
      <c r="M53" s="153"/>
      <c r="N53" s="153"/>
      <c r="O53" s="153"/>
      <c r="P53" s="153"/>
      <c r="Q53" s="153"/>
      <c r="R53" s="153"/>
      <c r="S53" s="160"/>
      <c r="T53" s="160"/>
      <c r="U53" s="160"/>
    </row>
    <row r="54" spans="1:21" s="3" customFormat="1" ht="31.15" customHeight="1" x14ac:dyDescent="0.25">
      <c r="A54" s="12"/>
      <c r="B54" s="68" t="s">
        <v>153</v>
      </c>
      <c r="C54" s="23" t="s">
        <v>230</v>
      </c>
      <c r="D54" s="14" t="s">
        <v>13</v>
      </c>
      <c r="E54" s="15">
        <f>1.1*1.6</f>
        <v>1.7600000000000002</v>
      </c>
      <c r="F54" s="16">
        <v>1250000</v>
      </c>
      <c r="G54" s="17">
        <v>1</v>
      </c>
      <c r="H54" s="18">
        <f t="shared" si="6"/>
        <v>2200000</v>
      </c>
      <c r="I54" s="227">
        <f t="shared" si="0"/>
        <v>2200000</v>
      </c>
      <c r="J54" s="174"/>
      <c r="K54" s="153"/>
      <c r="L54" s="153"/>
      <c r="M54" s="153"/>
      <c r="N54" s="153"/>
      <c r="O54" s="153"/>
      <c r="P54" s="153"/>
      <c r="Q54" s="153"/>
      <c r="R54" s="153"/>
      <c r="S54" s="160"/>
      <c r="T54" s="160"/>
      <c r="U54" s="160"/>
    </row>
    <row r="55" spans="1:21" s="3" customFormat="1" ht="31.15" customHeight="1" x14ac:dyDescent="0.25">
      <c r="A55" s="12"/>
      <c r="B55" s="13" t="s">
        <v>154</v>
      </c>
      <c r="C55" s="23" t="s">
        <v>110</v>
      </c>
      <c r="D55" s="14" t="s">
        <v>155</v>
      </c>
      <c r="E55" s="15">
        <v>9</v>
      </c>
      <c r="F55" s="16">
        <v>100000</v>
      </c>
      <c r="G55" s="17">
        <v>1</v>
      </c>
      <c r="H55" s="18">
        <f t="shared" si="6"/>
        <v>900000</v>
      </c>
      <c r="I55" s="227">
        <f t="shared" si="0"/>
        <v>900000</v>
      </c>
      <c r="J55" s="174"/>
      <c r="K55" s="153"/>
      <c r="L55" s="153"/>
      <c r="M55" s="153"/>
      <c r="N55" s="153"/>
      <c r="O55" s="153"/>
      <c r="P55" s="153"/>
      <c r="Q55" s="153"/>
      <c r="R55" s="153"/>
      <c r="S55" s="160"/>
      <c r="T55" s="160"/>
      <c r="U55" s="160"/>
    </row>
    <row r="56" spans="1:21" s="3" customFormat="1" ht="31.15" customHeight="1" x14ac:dyDescent="0.25">
      <c r="A56" s="12"/>
      <c r="B56" s="13" t="s">
        <v>152</v>
      </c>
      <c r="C56" s="23" t="s">
        <v>349</v>
      </c>
      <c r="D56" s="14" t="s">
        <v>13</v>
      </c>
      <c r="E56" s="15">
        <f>(1.1+1.6)*2*0.2</f>
        <v>1.08</v>
      </c>
      <c r="F56" s="16">
        <v>478888</v>
      </c>
      <c r="G56" s="17">
        <v>1</v>
      </c>
      <c r="H56" s="18">
        <f t="shared" si="6"/>
        <v>517000</v>
      </c>
      <c r="I56" s="227">
        <f t="shared" si="0"/>
        <v>517000</v>
      </c>
      <c r="J56" s="174"/>
      <c r="K56" s="153"/>
      <c r="L56" s="153"/>
      <c r="M56" s="153"/>
      <c r="N56" s="153"/>
      <c r="O56" s="153"/>
      <c r="P56" s="153"/>
      <c r="Q56" s="153"/>
      <c r="R56" s="153"/>
      <c r="S56" s="160"/>
      <c r="T56" s="160"/>
      <c r="U56" s="160"/>
    </row>
    <row r="57" spans="1:21" s="3" customFormat="1" ht="31.15" customHeight="1" x14ac:dyDescent="0.25">
      <c r="A57" s="12"/>
      <c r="B57" s="13" t="s">
        <v>166</v>
      </c>
      <c r="C57" s="23" t="s">
        <v>110</v>
      </c>
      <c r="D57" s="14" t="s">
        <v>13</v>
      </c>
      <c r="E57" s="15">
        <f>0.95*0.75</f>
        <v>0.71249999999999991</v>
      </c>
      <c r="F57" s="16">
        <v>550000</v>
      </c>
      <c r="G57" s="17">
        <v>1</v>
      </c>
      <c r="H57" s="18">
        <f t="shared" si="6"/>
        <v>392000</v>
      </c>
      <c r="I57" s="227">
        <f t="shared" si="0"/>
        <v>392000</v>
      </c>
      <c r="J57" s="174"/>
      <c r="K57" s="153"/>
      <c r="L57" s="153"/>
      <c r="M57" s="153"/>
      <c r="N57" s="153"/>
      <c r="O57" s="153"/>
      <c r="P57" s="153"/>
      <c r="Q57" s="153"/>
      <c r="R57" s="153"/>
      <c r="S57" s="160"/>
      <c r="T57" s="160"/>
      <c r="U57" s="160"/>
    </row>
    <row r="58" spans="1:21" s="3" customFormat="1" ht="31.15" customHeight="1" x14ac:dyDescent="0.25">
      <c r="A58" s="12"/>
      <c r="B58" s="68" t="s">
        <v>159</v>
      </c>
      <c r="C58" s="23" t="s">
        <v>350</v>
      </c>
      <c r="D58" s="14" t="s">
        <v>13</v>
      </c>
      <c r="E58" s="15">
        <f>((3.4+2.55)*2*3.2-(1.91+1.76+0.71)+(3.4*2.55))</f>
        <v>42.37</v>
      </c>
      <c r="F58" s="16">
        <v>58021</v>
      </c>
      <c r="G58" s="17">
        <v>1</v>
      </c>
      <c r="H58" s="18">
        <f t="shared" si="6"/>
        <v>2458000</v>
      </c>
      <c r="I58" s="227">
        <f t="shared" si="0"/>
        <v>2458000</v>
      </c>
      <c r="J58" s="174"/>
      <c r="K58" s="153"/>
      <c r="L58" s="153"/>
      <c r="M58" s="153"/>
      <c r="N58" s="153"/>
      <c r="O58" s="153"/>
      <c r="P58" s="153"/>
      <c r="Q58" s="153"/>
      <c r="R58" s="153"/>
      <c r="S58" s="160"/>
      <c r="T58" s="160"/>
      <c r="U58" s="160"/>
    </row>
    <row r="59" spans="1:21" s="3" customFormat="1" ht="25.9" customHeight="1" x14ac:dyDescent="0.25">
      <c r="A59" s="12"/>
      <c r="B59" s="68" t="s">
        <v>167</v>
      </c>
      <c r="C59" s="23" t="s">
        <v>353</v>
      </c>
      <c r="D59" s="14" t="s">
        <v>168</v>
      </c>
      <c r="E59" s="15">
        <v>1</v>
      </c>
      <c r="F59" s="16">
        <f>217075+569762</f>
        <v>786837</v>
      </c>
      <c r="G59" s="17">
        <v>1</v>
      </c>
      <c r="H59" s="18">
        <f t="shared" si="6"/>
        <v>787000</v>
      </c>
      <c r="I59" s="227">
        <f t="shared" si="0"/>
        <v>787000</v>
      </c>
      <c r="J59" s="174"/>
      <c r="K59" s="153"/>
      <c r="L59" s="153"/>
      <c r="M59" s="153"/>
      <c r="N59" s="153"/>
      <c r="O59" s="153"/>
      <c r="P59" s="153"/>
      <c r="Q59" s="153"/>
      <c r="R59" s="153"/>
      <c r="S59" s="160"/>
      <c r="T59" s="160"/>
      <c r="U59" s="160"/>
    </row>
    <row r="60" spans="1:21" s="3" customFormat="1" ht="25.9" customHeight="1" x14ac:dyDescent="0.25">
      <c r="A60" s="12" t="s">
        <v>145</v>
      </c>
      <c r="B60" s="68" t="s">
        <v>169</v>
      </c>
      <c r="C60" s="23"/>
      <c r="D60" s="68"/>
      <c r="E60" s="68"/>
      <c r="F60" s="68"/>
      <c r="G60" s="244"/>
      <c r="H60" s="18"/>
      <c r="I60" s="227">
        <f t="shared" si="0"/>
        <v>0</v>
      </c>
      <c r="J60" s="174"/>
      <c r="K60" s="153"/>
      <c r="L60" s="153"/>
      <c r="M60" s="153"/>
      <c r="N60" s="153"/>
      <c r="O60" s="153"/>
      <c r="P60" s="153"/>
      <c r="Q60" s="153"/>
      <c r="R60" s="153"/>
      <c r="S60" s="160"/>
      <c r="T60" s="160"/>
      <c r="U60" s="160"/>
    </row>
    <row r="61" spans="1:21" s="3" customFormat="1" ht="31.15" customHeight="1" x14ac:dyDescent="0.25">
      <c r="A61" s="12"/>
      <c r="B61" s="68" t="s">
        <v>170</v>
      </c>
      <c r="C61" s="23" t="s">
        <v>316</v>
      </c>
      <c r="D61" s="14" t="s">
        <v>13</v>
      </c>
      <c r="E61" s="15">
        <f>3.3*2.55</f>
        <v>8.4149999999999991</v>
      </c>
      <c r="F61" s="16">
        <v>391177</v>
      </c>
      <c r="G61" s="17">
        <v>1</v>
      </c>
      <c r="H61" s="18">
        <f t="shared" ref="H61:H68" si="7">ROUND(E61*F61*G61,-3)</f>
        <v>3292000</v>
      </c>
      <c r="I61" s="227">
        <f t="shared" si="0"/>
        <v>3292000</v>
      </c>
      <c r="J61" s="174"/>
      <c r="K61" s="153"/>
      <c r="L61" s="153"/>
      <c r="M61" s="153"/>
      <c r="N61" s="153"/>
      <c r="O61" s="153"/>
      <c r="P61" s="153"/>
      <c r="Q61" s="153"/>
      <c r="R61" s="153"/>
      <c r="S61" s="160"/>
      <c r="T61" s="160"/>
      <c r="U61" s="160"/>
    </row>
    <row r="62" spans="1:21" s="3" customFormat="1" ht="31.15" customHeight="1" x14ac:dyDescent="0.25">
      <c r="A62" s="12"/>
      <c r="B62" s="68" t="s">
        <v>165</v>
      </c>
      <c r="C62" s="23" t="s">
        <v>317</v>
      </c>
      <c r="D62" s="14" t="s">
        <v>13</v>
      </c>
      <c r="E62" s="15">
        <f>((3.3+2.55)*2-0.85)*0.6</f>
        <v>6.51</v>
      </c>
      <c r="F62" s="16">
        <v>460385</v>
      </c>
      <c r="G62" s="17">
        <v>1</v>
      </c>
      <c r="H62" s="18">
        <f t="shared" si="7"/>
        <v>2997000</v>
      </c>
      <c r="I62" s="227">
        <f t="shared" si="0"/>
        <v>2997000</v>
      </c>
      <c r="J62" s="174"/>
      <c r="K62" s="153"/>
      <c r="L62" s="153"/>
      <c r="M62" s="153"/>
      <c r="N62" s="153"/>
      <c r="O62" s="153"/>
      <c r="P62" s="153"/>
      <c r="Q62" s="153"/>
      <c r="R62" s="153"/>
      <c r="S62" s="160"/>
      <c r="T62" s="160"/>
      <c r="U62" s="160"/>
    </row>
    <row r="63" spans="1:21" s="3" customFormat="1" ht="31.15" customHeight="1" x14ac:dyDescent="0.25">
      <c r="A63" s="12"/>
      <c r="B63" s="68" t="s">
        <v>153</v>
      </c>
      <c r="C63" s="23" t="s">
        <v>230</v>
      </c>
      <c r="D63" s="14" t="s">
        <v>13</v>
      </c>
      <c r="E63" s="15">
        <f>1.1*1.6</f>
        <v>1.7600000000000002</v>
      </c>
      <c r="F63" s="16">
        <v>1250000</v>
      </c>
      <c r="G63" s="17">
        <v>1</v>
      </c>
      <c r="H63" s="18">
        <f t="shared" si="7"/>
        <v>2200000</v>
      </c>
      <c r="I63" s="227">
        <f t="shared" si="0"/>
        <v>2200000</v>
      </c>
      <c r="J63" s="174"/>
      <c r="K63" s="153"/>
      <c r="L63" s="153"/>
      <c r="M63" s="153"/>
      <c r="N63" s="153"/>
      <c r="O63" s="153"/>
      <c r="P63" s="153"/>
      <c r="Q63" s="153"/>
      <c r="R63" s="153"/>
      <c r="S63" s="160"/>
      <c r="T63" s="160"/>
      <c r="U63" s="160"/>
    </row>
    <row r="64" spans="1:21" s="3" customFormat="1" ht="31.15" customHeight="1" x14ac:dyDescent="0.25">
      <c r="A64" s="12"/>
      <c r="B64" s="13" t="s">
        <v>154</v>
      </c>
      <c r="C64" s="23" t="s">
        <v>110</v>
      </c>
      <c r="D64" s="14" t="s">
        <v>155</v>
      </c>
      <c r="E64" s="15">
        <v>9</v>
      </c>
      <c r="F64" s="16">
        <v>100000</v>
      </c>
      <c r="G64" s="17">
        <v>1</v>
      </c>
      <c r="H64" s="18">
        <f t="shared" si="7"/>
        <v>900000</v>
      </c>
      <c r="I64" s="227">
        <f t="shared" si="0"/>
        <v>900000</v>
      </c>
      <c r="J64" s="174"/>
      <c r="K64" s="153"/>
      <c r="L64" s="153"/>
      <c r="M64" s="153"/>
      <c r="N64" s="153"/>
      <c r="O64" s="153"/>
      <c r="P64" s="153"/>
      <c r="Q64" s="153"/>
      <c r="R64" s="153"/>
      <c r="S64" s="160"/>
      <c r="T64" s="160"/>
      <c r="U64" s="160"/>
    </row>
    <row r="65" spans="1:21" s="3" customFormat="1" ht="31.15" customHeight="1" x14ac:dyDescent="0.25">
      <c r="A65" s="12"/>
      <c r="B65" s="13" t="s">
        <v>152</v>
      </c>
      <c r="C65" s="23" t="s">
        <v>349</v>
      </c>
      <c r="D65" s="14" t="s">
        <v>13</v>
      </c>
      <c r="E65" s="15">
        <f>(1.1+1.6)*2*0.2</f>
        <v>1.08</v>
      </c>
      <c r="F65" s="16">
        <v>478888</v>
      </c>
      <c r="G65" s="17">
        <v>1</v>
      </c>
      <c r="H65" s="18">
        <f t="shared" si="7"/>
        <v>517000</v>
      </c>
      <c r="I65" s="227">
        <f t="shared" si="0"/>
        <v>517000</v>
      </c>
      <c r="J65" s="174"/>
      <c r="K65" s="153"/>
      <c r="L65" s="153"/>
      <c r="M65" s="153"/>
      <c r="N65" s="153"/>
      <c r="O65" s="153"/>
      <c r="P65" s="153"/>
      <c r="Q65" s="153"/>
      <c r="R65" s="153"/>
      <c r="S65" s="160"/>
      <c r="T65" s="160"/>
      <c r="U65" s="160"/>
    </row>
    <row r="66" spans="1:21" s="3" customFormat="1" ht="31.15" customHeight="1" x14ac:dyDescent="0.25">
      <c r="A66" s="12"/>
      <c r="B66" s="13" t="s">
        <v>166</v>
      </c>
      <c r="C66" s="23" t="s">
        <v>110</v>
      </c>
      <c r="D66" s="14" t="s">
        <v>13</v>
      </c>
      <c r="E66" s="15">
        <f>0.95*0.75</f>
        <v>0.71249999999999991</v>
      </c>
      <c r="F66" s="16">
        <v>550000</v>
      </c>
      <c r="G66" s="17">
        <v>1</v>
      </c>
      <c r="H66" s="18">
        <f t="shared" si="7"/>
        <v>392000</v>
      </c>
      <c r="I66" s="227">
        <f t="shared" si="0"/>
        <v>392000</v>
      </c>
      <c r="J66" s="174"/>
      <c r="K66" s="153"/>
      <c r="L66" s="153"/>
      <c r="M66" s="153"/>
      <c r="N66" s="153"/>
      <c r="O66" s="153"/>
      <c r="P66" s="153"/>
      <c r="Q66" s="153"/>
      <c r="R66" s="153"/>
      <c r="S66" s="160"/>
      <c r="T66" s="160"/>
      <c r="U66" s="160"/>
    </row>
    <row r="67" spans="1:21" s="3" customFormat="1" ht="31.15" customHeight="1" x14ac:dyDescent="0.25">
      <c r="A67" s="12"/>
      <c r="B67" s="68" t="s">
        <v>159</v>
      </c>
      <c r="C67" s="23" t="s">
        <v>350</v>
      </c>
      <c r="D67" s="14" t="s">
        <v>13</v>
      </c>
      <c r="E67" s="15">
        <f>((3.3+2.55)*2*3.2-(1.91+1.76+0.71)+(3.3*2.55))</f>
        <v>41.474999999999994</v>
      </c>
      <c r="F67" s="16">
        <v>58021</v>
      </c>
      <c r="G67" s="17">
        <v>1</v>
      </c>
      <c r="H67" s="18">
        <f t="shared" si="7"/>
        <v>2406000</v>
      </c>
      <c r="I67" s="227">
        <f t="shared" si="0"/>
        <v>2406000</v>
      </c>
      <c r="J67" s="174"/>
      <c r="K67" s="153"/>
      <c r="L67" s="153"/>
      <c r="M67" s="153"/>
      <c r="N67" s="153"/>
      <c r="O67" s="153"/>
      <c r="P67" s="153"/>
      <c r="Q67" s="153"/>
      <c r="R67" s="153"/>
      <c r="S67" s="160"/>
      <c r="T67" s="160"/>
      <c r="U67" s="160"/>
    </row>
    <row r="68" spans="1:21" s="3" customFormat="1" ht="25.9" customHeight="1" x14ac:dyDescent="0.25">
      <c r="A68" s="12"/>
      <c r="B68" s="68" t="s">
        <v>167</v>
      </c>
      <c r="C68" s="23" t="s">
        <v>353</v>
      </c>
      <c r="D68" s="14" t="s">
        <v>168</v>
      </c>
      <c r="E68" s="15">
        <v>1</v>
      </c>
      <c r="F68" s="16">
        <f>217075+569762</f>
        <v>786837</v>
      </c>
      <c r="G68" s="17">
        <v>1</v>
      </c>
      <c r="H68" s="18">
        <f t="shared" si="7"/>
        <v>787000</v>
      </c>
      <c r="I68" s="227">
        <f t="shared" si="0"/>
        <v>787000</v>
      </c>
      <c r="J68" s="174"/>
      <c r="K68" s="153"/>
      <c r="L68" s="153"/>
      <c r="M68" s="153"/>
      <c r="N68" s="153"/>
      <c r="O68" s="153"/>
      <c r="P68" s="153"/>
      <c r="Q68" s="153"/>
      <c r="R68" s="153"/>
      <c r="S68" s="160"/>
      <c r="T68" s="160"/>
      <c r="U68" s="160"/>
    </row>
    <row r="69" spans="1:21" s="3" customFormat="1" ht="25.9" customHeight="1" x14ac:dyDescent="0.25">
      <c r="A69" s="12" t="s">
        <v>145</v>
      </c>
      <c r="B69" s="68" t="s">
        <v>171</v>
      </c>
      <c r="C69" s="23"/>
      <c r="D69" s="68"/>
      <c r="E69" s="68"/>
      <c r="F69" s="68"/>
      <c r="G69" s="244"/>
      <c r="H69" s="18"/>
      <c r="I69" s="227">
        <f t="shared" si="0"/>
        <v>0</v>
      </c>
      <c r="J69" s="174"/>
      <c r="K69" s="153"/>
      <c r="L69" s="153"/>
      <c r="M69" s="153"/>
      <c r="N69" s="153"/>
      <c r="O69" s="153"/>
      <c r="P69" s="153"/>
      <c r="Q69" s="153"/>
      <c r="R69" s="153"/>
      <c r="S69" s="160"/>
      <c r="T69" s="160"/>
      <c r="U69" s="160"/>
    </row>
    <row r="70" spans="1:21" s="3" customFormat="1" ht="31.15" customHeight="1" x14ac:dyDescent="0.25">
      <c r="A70" s="12"/>
      <c r="B70" s="68" t="s">
        <v>172</v>
      </c>
      <c r="C70" s="23" t="s">
        <v>354</v>
      </c>
      <c r="D70" s="14" t="s">
        <v>13</v>
      </c>
      <c r="E70" s="15">
        <f>3.35*2.8</f>
        <v>9.379999999999999</v>
      </c>
      <c r="F70" s="16">
        <v>328543</v>
      </c>
      <c r="G70" s="17">
        <v>1</v>
      </c>
      <c r="H70" s="18">
        <f t="shared" ref="H70:H82" si="8">ROUND(E70*F70*G70,-3)</f>
        <v>3082000</v>
      </c>
      <c r="I70" s="227">
        <f t="shared" si="0"/>
        <v>3082000</v>
      </c>
      <c r="J70" s="174"/>
      <c r="K70" s="153"/>
      <c r="L70" s="153"/>
      <c r="M70" s="153"/>
      <c r="N70" s="153"/>
      <c r="O70" s="153"/>
      <c r="P70" s="153"/>
      <c r="Q70" s="153"/>
      <c r="R70" s="153"/>
      <c r="S70" s="160"/>
      <c r="T70" s="160"/>
      <c r="U70" s="160"/>
    </row>
    <row r="71" spans="1:21" s="3" customFormat="1" ht="31.15" customHeight="1" x14ac:dyDescent="0.25">
      <c r="A71" s="12"/>
      <c r="B71" s="68" t="s">
        <v>173</v>
      </c>
      <c r="C71" s="23" t="s">
        <v>352</v>
      </c>
      <c r="D71" s="14" t="s">
        <v>13</v>
      </c>
      <c r="E71" s="15">
        <f>((3.35+2.8)*2*2.4+(1.9*2.4*2))-(0.8*1.95*2)</f>
        <v>35.520000000000003</v>
      </c>
      <c r="F71" s="16">
        <v>563183</v>
      </c>
      <c r="G71" s="17">
        <v>1</v>
      </c>
      <c r="H71" s="18">
        <f t="shared" si="8"/>
        <v>20004000</v>
      </c>
      <c r="I71" s="227">
        <f t="shared" ref="I71:I134" si="9">ROUND(G71*F71*E71,-3)</f>
        <v>20004000</v>
      </c>
      <c r="J71" s="174"/>
      <c r="K71" s="153"/>
      <c r="L71" s="153"/>
      <c r="M71" s="153"/>
      <c r="N71" s="153"/>
      <c r="O71" s="153"/>
      <c r="P71" s="153"/>
      <c r="Q71" s="153"/>
      <c r="R71" s="153"/>
      <c r="S71" s="160"/>
      <c r="T71" s="160"/>
      <c r="U71" s="160"/>
    </row>
    <row r="72" spans="1:21" s="3" customFormat="1" ht="31.15" customHeight="1" x14ac:dyDescent="0.25">
      <c r="A72" s="12"/>
      <c r="B72" s="68" t="s">
        <v>174</v>
      </c>
      <c r="C72" s="23" t="s">
        <v>110</v>
      </c>
      <c r="D72" s="14" t="s">
        <v>13</v>
      </c>
      <c r="E72" s="15">
        <f>0.8*1.95*2</f>
        <v>3.12</v>
      </c>
      <c r="F72" s="16">
        <v>1100000</v>
      </c>
      <c r="G72" s="17">
        <v>1</v>
      </c>
      <c r="H72" s="18">
        <f t="shared" si="8"/>
        <v>3432000</v>
      </c>
      <c r="I72" s="227">
        <f t="shared" si="9"/>
        <v>3432000</v>
      </c>
      <c r="J72" s="174"/>
      <c r="K72" s="153"/>
      <c r="L72" s="153"/>
      <c r="M72" s="153"/>
      <c r="N72" s="153"/>
      <c r="O72" s="153"/>
      <c r="P72" s="153"/>
      <c r="Q72" s="153"/>
      <c r="R72" s="153"/>
      <c r="S72" s="160"/>
      <c r="T72" s="160"/>
      <c r="U72" s="160"/>
    </row>
    <row r="73" spans="1:21" s="3" customFormat="1" ht="34.9" customHeight="1" x14ac:dyDescent="0.25">
      <c r="A73" s="31"/>
      <c r="B73" s="34" t="s">
        <v>176</v>
      </c>
      <c r="C73" s="33" t="s">
        <v>110</v>
      </c>
      <c r="D73" s="14" t="s">
        <v>177</v>
      </c>
      <c r="E73" s="15">
        <v>1</v>
      </c>
      <c r="F73" s="16">
        <v>1500000</v>
      </c>
      <c r="G73" s="17">
        <v>1</v>
      </c>
      <c r="H73" s="18">
        <f t="shared" si="8"/>
        <v>1500000</v>
      </c>
      <c r="I73" s="227">
        <f t="shared" si="9"/>
        <v>1500000</v>
      </c>
      <c r="J73" s="174"/>
      <c r="K73" s="153"/>
      <c r="L73" s="153"/>
      <c r="M73" s="153"/>
      <c r="N73" s="153"/>
      <c r="O73" s="153"/>
      <c r="P73" s="153"/>
      <c r="Q73" s="181"/>
      <c r="R73" s="181"/>
      <c r="S73" s="160"/>
      <c r="T73" s="160"/>
      <c r="U73" s="160"/>
    </row>
    <row r="74" spans="1:21" s="6" customFormat="1" ht="40.5" customHeight="1" x14ac:dyDescent="0.25">
      <c r="A74" s="40"/>
      <c r="B74" s="35" t="s">
        <v>178</v>
      </c>
      <c r="C74" s="41" t="s">
        <v>110</v>
      </c>
      <c r="D74" s="14" t="s">
        <v>168</v>
      </c>
      <c r="E74" s="42">
        <v>1</v>
      </c>
      <c r="F74" s="16">
        <v>650000</v>
      </c>
      <c r="G74" s="243">
        <v>1</v>
      </c>
      <c r="H74" s="43">
        <f t="shared" si="8"/>
        <v>650000</v>
      </c>
      <c r="I74" s="227">
        <f t="shared" si="9"/>
        <v>650000</v>
      </c>
      <c r="J74" s="202"/>
      <c r="K74" s="202"/>
      <c r="L74" s="202"/>
      <c r="M74" s="202"/>
      <c r="N74" s="202"/>
      <c r="O74" s="203"/>
      <c r="P74" s="204"/>
      <c r="Q74" s="158"/>
      <c r="R74" s="158"/>
      <c r="S74" s="164"/>
      <c r="T74" s="164"/>
      <c r="U74" s="164"/>
    </row>
    <row r="75" spans="1:21" s="3" customFormat="1" ht="31.15" customHeight="1" x14ac:dyDescent="0.25">
      <c r="A75" s="12"/>
      <c r="B75" s="68" t="s">
        <v>179</v>
      </c>
      <c r="C75" s="23" t="s">
        <v>110</v>
      </c>
      <c r="D75" s="14" t="s">
        <v>168</v>
      </c>
      <c r="E75" s="15">
        <v>1</v>
      </c>
      <c r="F75" s="16">
        <v>1200000</v>
      </c>
      <c r="G75" s="17">
        <v>1</v>
      </c>
      <c r="H75" s="18">
        <f t="shared" si="8"/>
        <v>1200000</v>
      </c>
      <c r="I75" s="227">
        <f t="shared" si="9"/>
        <v>1200000</v>
      </c>
      <c r="J75" s="174"/>
      <c r="K75" s="153"/>
      <c r="L75" s="153"/>
      <c r="M75" s="153"/>
      <c r="N75" s="153"/>
      <c r="O75" s="153"/>
      <c r="P75" s="153"/>
      <c r="Q75" s="153"/>
      <c r="R75" s="153"/>
      <c r="S75" s="160"/>
      <c r="T75" s="160"/>
      <c r="U75" s="160"/>
    </row>
    <row r="76" spans="1:21" s="3" customFormat="1" ht="31.15" customHeight="1" x14ac:dyDescent="0.25">
      <c r="A76" s="12"/>
      <c r="B76" s="13" t="s">
        <v>232</v>
      </c>
      <c r="C76" s="23" t="s">
        <v>110</v>
      </c>
      <c r="D76" s="14" t="s">
        <v>177</v>
      </c>
      <c r="E76" s="15">
        <v>1</v>
      </c>
      <c r="F76" s="16">
        <v>100000</v>
      </c>
      <c r="G76" s="17">
        <v>1</v>
      </c>
      <c r="H76" s="18">
        <f t="shared" si="8"/>
        <v>100000</v>
      </c>
      <c r="I76" s="227">
        <f t="shared" si="9"/>
        <v>100000</v>
      </c>
      <c r="J76" s="174"/>
      <c r="K76" s="153"/>
      <c r="L76" s="153"/>
      <c r="M76" s="153"/>
      <c r="N76" s="153"/>
      <c r="O76" s="153"/>
      <c r="P76" s="153"/>
      <c r="Q76" s="153"/>
      <c r="R76" s="153"/>
      <c r="S76" s="160"/>
      <c r="T76" s="160"/>
      <c r="U76" s="160"/>
    </row>
    <row r="77" spans="1:21" s="3" customFormat="1" ht="31.15" customHeight="1" x14ac:dyDescent="0.25">
      <c r="A77" s="12"/>
      <c r="B77" s="13" t="s">
        <v>180</v>
      </c>
      <c r="C77" s="23" t="s">
        <v>110</v>
      </c>
      <c r="D77" s="14" t="s">
        <v>177</v>
      </c>
      <c r="E77" s="15">
        <v>2</v>
      </c>
      <c r="F77" s="16">
        <v>150000</v>
      </c>
      <c r="G77" s="17">
        <v>1</v>
      </c>
      <c r="H77" s="18">
        <f t="shared" si="8"/>
        <v>300000</v>
      </c>
      <c r="I77" s="227">
        <f t="shared" si="9"/>
        <v>300000</v>
      </c>
      <c r="J77" s="174"/>
      <c r="K77" s="153"/>
      <c r="L77" s="153"/>
      <c r="M77" s="153"/>
      <c r="N77" s="153"/>
      <c r="O77" s="153"/>
      <c r="P77" s="153"/>
      <c r="Q77" s="153"/>
      <c r="R77" s="153"/>
      <c r="S77" s="160"/>
      <c r="T77" s="160"/>
      <c r="U77" s="160"/>
    </row>
    <row r="78" spans="1:21" s="3" customFormat="1" ht="31.15" customHeight="1" x14ac:dyDescent="0.25">
      <c r="A78" s="12"/>
      <c r="B78" s="13" t="s">
        <v>181</v>
      </c>
      <c r="C78" s="23" t="s">
        <v>110</v>
      </c>
      <c r="D78" s="14" t="s">
        <v>177</v>
      </c>
      <c r="E78" s="15">
        <v>2</v>
      </c>
      <c r="F78" s="16">
        <v>120000</v>
      </c>
      <c r="G78" s="17">
        <v>1</v>
      </c>
      <c r="H78" s="18">
        <f t="shared" si="8"/>
        <v>240000</v>
      </c>
      <c r="I78" s="227">
        <f t="shared" si="9"/>
        <v>240000</v>
      </c>
      <c r="J78" s="174"/>
      <c r="K78" s="153"/>
      <c r="L78" s="153"/>
      <c r="M78" s="153"/>
      <c r="N78" s="153"/>
      <c r="O78" s="153"/>
      <c r="P78" s="153"/>
      <c r="Q78" s="153"/>
      <c r="R78" s="153"/>
      <c r="S78" s="160"/>
      <c r="T78" s="160"/>
      <c r="U78" s="160"/>
    </row>
    <row r="79" spans="1:21" s="3" customFormat="1" ht="31.15" customHeight="1" x14ac:dyDescent="0.25">
      <c r="A79" s="12"/>
      <c r="B79" s="13" t="s">
        <v>182</v>
      </c>
      <c r="C79" s="23" t="s">
        <v>110</v>
      </c>
      <c r="D79" s="14" t="s">
        <v>168</v>
      </c>
      <c r="E79" s="15">
        <v>1</v>
      </c>
      <c r="F79" s="16">
        <v>2500000</v>
      </c>
      <c r="G79" s="17">
        <v>1</v>
      </c>
      <c r="H79" s="18">
        <f t="shared" si="8"/>
        <v>2500000</v>
      </c>
      <c r="I79" s="227">
        <f t="shared" si="9"/>
        <v>2500000</v>
      </c>
      <c r="J79" s="174"/>
      <c r="K79" s="153"/>
      <c r="L79" s="153"/>
      <c r="M79" s="153"/>
      <c r="N79" s="153"/>
      <c r="O79" s="153"/>
      <c r="P79" s="153"/>
      <c r="Q79" s="153"/>
      <c r="R79" s="153"/>
      <c r="S79" s="160"/>
      <c r="T79" s="160"/>
      <c r="U79" s="160"/>
    </row>
    <row r="80" spans="1:21" s="19" customFormat="1" ht="31.15" customHeight="1" x14ac:dyDescent="0.25">
      <c r="A80" s="12"/>
      <c r="B80" s="13" t="s">
        <v>183</v>
      </c>
      <c r="C80" s="23" t="s">
        <v>355</v>
      </c>
      <c r="D80" s="14" t="s">
        <v>168</v>
      </c>
      <c r="E80" s="15">
        <v>1</v>
      </c>
      <c r="F80" s="16">
        <f>72358+854024</f>
        <v>926382</v>
      </c>
      <c r="G80" s="17">
        <v>1</v>
      </c>
      <c r="H80" s="18">
        <f t="shared" si="8"/>
        <v>926000</v>
      </c>
      <c r="I80" s="227">
        <f t="shared" si="9"/>
        <v>926000</v>
      </c>
      <c r="J80" s="200"/>
      <c r="K80" s="161"/>
      <c r="L80" s="161"/>
      <c r="M80" s="161"/>
      <c r="N80" s="161"/>
      <c r="O80" s="161"/>
      <c r="P80" s="161"/>
      <c r="Q80" s="161"/>
      <c r="R80" s="161"/>
      <c r="S80" s="162"/>
      <c r="T80" s="162"/>
      <c r="U80" s="162"/>
    </row>
    <row r="81" spans="1:21" s="3" customFormat="1" ht="31.15" customHeight="1" x14ac:dyDescent="0.25">
      <c r="A81" s="12"/>
      <c r="B81" s="13" t="s">
        <v>184</v>
      </c>
      <c r="C81" s="23" t="s">
        <v>110</v>
      </c>
      <c r="D81" s="14" t="s">
        <v>13</v>
      </c>
      <c r="E81" s="15">
        <f>0.6*0.3</f>
        <v>0.18</v>
      </c>
      <c r="F81" s="16">
        <v>550000</v>
      </c>
      <c r="G81" s="17">
        <v>1</v>
      </c>
      <c r="H81" s="18">
        <f t="shared" si="8"/>
        <v>99000</v>
      </c>
      <c r="I81" s="227">
        <f t="shared" si="9"/>
        <v>99000</v>
      </c>
      <c r="J81" s="174"/>
      <c r="K81" s="153"/>
      <c r="L81" s="153"/>
      <c r="M81" s="153"/>
      <c r="N81" s="153"/>
      <c r="O81" s="153"/>
      <c r="P81" s="153"/>
      <c r="Q81" s="153"/>
      <c r="R81" s="153"/>
      <c r="S81" s="160"/>
      <c r="T81" s="160"/>
      <c r="U81" s="160"/>
    </row>
    <row r="82" spans="1:21" s="3" customFormat="1" ht="31.15" customHeight="1" x14ac:dyDescent="0.25">
      <c r="A82" s="12"/>
      <c r="B82" s="68" t="s">
        <v>159</v>
      </c>
      <c r="C82" s="23" t="s">
        <v>350</v>
      </c>
      <c r="D82" s="14" t="s">
        <v>13</v>
      </c>
      <c r="E82" s="15">
        <f>2.8*3.35</f>
        <v>9.379999999999999</v>
      </c>
      <c r="F82" s="16">
        <v>58021</v>
      </c>
      <c r="G82" s="17">
        <v>1</v>
      </c>
      <c r="H82" s="18">
        <f t="shared" si="8"/>
        <v>544000</v>
      </c>
      <c r="I82" s="227">
        <f t="shared" si="9"/>
        <v>544000</v>
      </c>
      <c r="J82" s="174"/>
      <c r="K82" s="153"/>
      <c r="L82" s="153"/>
      <c r="M82" s="153"/>
      <c r="N82" s="153"/>
      <c r="O82" s="153"/>
      <c r="P82" s="153"/>
      <c r="Q82" s="153"/>
      <c r="R82" s="153"/>
      <c r="S82" s="160"/>
      <c r="T82" s="160"/>
      <c r="U82" s="160"/>
    </row>
    <row r="83" spans="1:21" s="3" customFormat="1" ht="25.9" customHeight="1" x14ac:dyDescent="0.25">
      <c r="A83" s="12" t="s">
        <v>145</v>
      </c>
      <c r="B83" s="68" t="s">
        <v>185</v>
      </c>
      <c r="C83" s="23"/>
      <c r="D83" s="68"/>
      <c r="E83" s="68"/>
      <c r="F83" s="68"/>
      <c r="G83" s="244"/>
      <c r="H83" s="18"/>
      <c r="I83" s="227">
        <f t="shared" si="9"/>
        <v>0</v>
      </c>
      <c r="J83" s="174"/>
      <c r="K83" s="153"/>
      <c r="L83" s="153"/>
      <c r="M83" s="153"/>
      <c r="N83" s="153"/>
      <c r="O83" s="153"/>
      <c r="P83" s="153"/>
      <c r="Q83" s="153"/>
      <c r="R83" s="153"/>
      <c r="S83" s="160"/>
      <c r="T83" s="160"/>
      <c r="U83" s="160"/>
    </row>
    <row r="84" spans="1:21" s="3" customFormat="1" ht="31.15" customHeight="1" x14ac:dyDescent="0.25">
      <c r="A84" s="12"/>
      <c r="B84" s="68" t="s">
        <v>186</v>
      </c>
      <c r="C84" s="23" t="s">
        <v>316</v>
      </c>
      <c r="D84" s="14" t="s">
        <v>13</v>
      </c>
      <c r="E84" s="15">
        <f>3.8*0.95</f>
        <v>3.61</v>
      </c>
      <c r="F84" s="16">
        <v>391177</v>
      </c>
      <c r="G84" s="17">
        <v>1</v>
      </c>
      <c r="H84" s="18">
        <f t="shared" ref="H84:H87" si="10">ROUND(E84*F84*G84,-3)</f>
        <v>1412000</v>
      </c>
      <c r="I84" s="227">
        <f t="shared" si="9"/>
        <v>1412000</v>
      </c>
      <c r="J84" s="174"/>
      <c r="K84" s="153"/>
      <c r="L84" s="153"/>
      <c r="M84" s="153"/>
      <c r="N84" s="153"/>
      <c r="O84" s="153"/>
      <c r="P84" s="153"/>
      <c r="Q84" s="153"/>
      <c r="R84" s="153"/>
      <c r="S84" s="160"/>
      <c r="T84" s="160"/>
      <c r="U84" s="160"/>
    </row>
    <row r="85" spans="1:21" s="3" customFormat="1" ht="31.15" customHeight="1" x14ac:dyDescent="0.25">
      <c r="A85" s="12"/>
      <c r="B85" s="68" t="s">
        <v>187</v>
      </c>
      <c r="C85" s="23" t="s">
        <v>230</v>
      </c>
      <c r="D85" s="14" t="s">
        <v>13</v>
      </c>
      <c r="E85" s="15">
        <f>0.9*2</f>
        <v>1.8</v>
      </c>
      <c r="F85" s="16">
        <v>1250000</v>
      </c>
      <c r="G85" s="17">
        <v>1</v>
      </c>
      <c r="H85" s="18">
        <f t="shared" si="10"/>
        <v>2250000</v>
      </c>
      <c r="I85" s="227">
        <f t="shared" si="9"/>
        <v>2250000</v>
      </c>
      <c r="J85" s="174"/>
      <c r="K85" s="153"/>
      <c r="L85" s="153"/>
      <c r="M85" s="153"/>
      <c r="N85" s="153"/>
      <c r="O85" s="153"/>
      <c r="P85" s="153"/>
      <c r="Q85" s="153"/>
      <c r="R85" s="153"/>
      <c r="S85" s="160"/>
      <c r="T85" s="160"/>
      <c r="U85" s="160"/>
    </row>
    <row r="86" spans="1:21" s="3" customFormat="1" ht="31.15" customHeight="1" x14ac:dyDescent="0.25">
      <c r="A86" s="12"/>
      <c r="B86" s="13" t="s">
        <v>188</v>
      </c>
      <c r="C86" s="23" t="s">
        <v>288</v>
      </c>
      <c r="D86" s="14" t="s">
        <v>13</v>
      </c>
      <c r="E86" s="15">
        <f>(0.9+2*2)*0.25</f>
        <v>1.2250000000000001</v>
      </c>
      <c r="F86" s="16">
        <v>423906</v>
      </c>
      <c r="G86" s="17">
        <v>1</v>
      </c>
      <c r="H86" s="18">
        <f t="shared" si="10"/>
        <v>519000</v>
      </c>
      <c r="I86" s="227">
        <f t="shared" si="9"/>
        <v>519000</v>
      </c>
      <c r="J86" s="174"/>
      <c r="K86" s="153"/>
      <c r="L86" s="153"/>
      <c r="M86" s="153"/>
      <c r="N86" s="153"/>
      <c r="O86" s="153"/>
      <c r="P86" s="153"/>
      <c r="Q86" s="153"/>
      <c r="R86" s="153"/>
      <c r="S86" s="160"/>
      <c r="T86" s="160"/>
      <c r="U86" s="160"/>
    </row>
    <row r="87" spans="1:21" s="3" customFormat="1" ht="31.15" customHeight="1" x14ac:dyDescent="0.25">
      <c r="A87" s="12"/>
      <c r="B87" s="68" t="s">
        <v>159</v>
      </c>
      <c r="C87" s="23" t="s">
        <v>350</v>
      </c>
      <c r="D87" s="14" t="s">
        <v>13</v>
      </c>
      <c r="E87" s="15">
        <f>(3.8*3.8)+(3.8*0.95)+(1.8*4.8)</f>
        <v>26.69</v>
      </c>
      <c r="F87" s="16">
        <v>58021</v>
      </c>
      <c r="G87" s="17">
        <v>1</v>
      </c>
      <c r="H87" s="18">
        <f t="shared" si="10"/>
        <v>1549000</v>
      </c>
      <c r="I87" s="227">
        <f t="shared" si="9"/>
        <v>1549000</v>
      </c>
      <c r="J87" s="174"/>
      <c r="K87" s="153"/>
      <c r="L87" s="153"/>
      <c r="M87" s="153"/>
      <c r="N87" s="153"/>
      <c r="O87" s="153"/>
      <c r="P87" s="153"/>
      <c r="Q87" s="153"/>
      <c r="R87" s="153"/>
      <c r="S87" s="160"/>
      <c r="T87" s="160"/>
      <c r="U87" s="160"/>
    </row>
    <row r="88" spans="1:21" s="3" customFormat="1" ht="25.9" customHeight="1" x14ac:dyDescent="0.25">
      <c r="A88" s="12" t="s">
        <v>145</v>
      </c>
      <c r="B88" s="68" t="s">
        <v>189</v>
      </c>
      <c r="C88" s="23"/>
      <c r="D88" s="68"/>
      <c r="E88" s="68"/>
      <c r="F88" s="68"/>
      <c r="G88" s="244"/>
      <c r="H88" s="18"/>
      <c r="I88" s="227">
        <f t="shared" si="9"/>
        <v>0</v>
      </c>
      <c r="J88" s="174"/>
      <c r="K88" s="153"/>
      <c r="L88" s="153"/>
      <c r="M88" s="153"/>
      <c r="N88" s="153"/>
      <c r="O88" s="153"/>
      <c r="P88" s="153"/>
      <c r="Q88" s="153"/>
      <c r="R88" s="153"/>
      <c r="S88" s="160"/>
      <c r="T88" s="160"/>
      <c r="U88" s="160"/>
    </row>
    <row r="89" spans="1:21" s="3" customFormat="1" ht="31.15" customHeight="1" x14ac:dyDescent="0.25">
      <c r="A89" s="12"/>
      <c r="B89" s="68" t="s">
        <v>190</v>
      </c>
      <c r="C89" s="23" t="s">
        <v>316</v>
      </c>
      <c r="D89" s="14" t="s">
        <v>13</v>
      </c>
      <c r="E89" s="15">
        <f>5*1.65</f>
        <v>8.25</v>
      </c>
      <c r="F89" s="16">
        <v>391177</v>
      </c>
      <c r="G89" s="17">
        <v>1</v>
      </c>
      <c r="H89" s="18">
        <f t="shared" ref="H89:H94" si="11">ROUND(E89*F89*G89,-3)</f>
        <v>3227000</v>
      </c>
      <c r="I89" s="227">
        <f t="shared" si="9"/>
        <v>3227000</v>
      </c>
      <c r="J89" s="174"/>
      <c r="K89" s="153"/>
      <c r="L89" s="153"/>
      <c r="M89" s="153"/>
      <c r="N89" s="153"/>
      <c r="O89" s="153"/>
      <c r="P89" s="153"/>
      <c r="Q89" s="153"/>
      <c r="R89" s="153"/>
      <c r="S89" s="160"/>
      <c r="T89" s="160"/>
      <c r="U89" s="160"/>
    </row>
    <row r="90" spans="1:21" s="6" customFormat="1" ht="31.15" customHeight="1" x14ac:dyDescent="0.25">
      <c r="A90" s="40"/>
      <c r="B90" s="101" t="s">
        <v>191</v>
      </c>
      <c r="C90" s="41" t="s">
        <v>356</v>
      </c>
      <c r="D90" s="14" t="s">
        <v>34</v>
      </c>
      <c r="E90" s="42">
        <v>11</v>
      </c>
      <c r="F90" s="16">
        <v>124997</v>
      </c>
      <c r="G90" s="243">
        <v>1</v>
      </c>
      <c r="H90" s="43">
        <f t="shared" si="11"/>
        <v>1375000</v>
      </c>
      <c r="I90" s="227">
        <f t="shared" si="9"/>
        <v>1375000</v>
      </c>
      <c r="J90" s="205"/>
      <c r="K90" s="205"/>
      <c r="L90" s="205"/>
      <c r="M90" s="205"/>
      <c r="N90" s="205"/>
      <c r="O90" s="164"/>
      <c r="P90" s="206"/>
      <c r="Q90" s="158"/>
      <c r="R90" s="158"/>
      <c r="S90" s="164"/>
      <c r="T90" s="164"/>
      <c r="U90" s="164"/>
    </row>
    <row r="91" spans="1:21" s="3" customFormat="1" ht="31.15" customHeight="1" x14ac:dyDescent="0.25">
      <c r="A91" s="12"/>
      <c r="B91" s="68" t="s">
        <v>159</v>
      </c>
      <c r="C91" s="23" t="s">
        <v>350</v>
      </c>
      <c r="D91" s="14" t="s">
        <v>13</v>
      </c>
      <c r="E91" s="15">
        <f>((5.5+1.65)*3.8+(5.5*1.65))-(2.7*2.55)</f>
        <v>29.360000000000007</v>
      </c>
      <c r="F91" s="16">
        <v>58021</v>
      </c>
      <c r="G91" s="17">
        <v>1</v>
      </c>
      <c r="H91" s="18">
        <f t="shared" si="11"/>
        <v>1703000</v>
      </c>
      <c r="I91" s="227">
        <f t="shared" si="9"/>
        <v>1703000</v>
      </c>
      <c r="J91" s="174"/>
      <c r="K91" s="153"/>
      <c r="L91" s="153"/>
      <c r="M91" s="153"/>
      <c r="N91" s="153"/>
      <c r="O91" s="153"/>
      <c r="P91" s="153"/>
      <c r="Q91" s="153"/>
      <c r="R91" s="153"/>
      <c r="S91" s="160"/>
      <c r="T91" s="160"/>
      <c r="U91" s="160"/>
    </row>
    <row r="92" spans="1:21" s="6" customFormat="1" ht="31.9" customHeight="1" x14ac:dyDescent="0.25">
      <c r="A92" s="40"/>
      <c r="B92" s="101" t="s">
        <v>193</v>
      </c>
      <c r="C92" s="41" t="s">
        <v>357</v>
      </c>
      <c r="D92" s="14" t="s">
        <v>13</v>
      </c>
      <c r="E92" s="42">
        <f>5.5*1.2</f>
        <v>6.6</v>
      </c>
      <c r="F92" s="16">
        <v>212588</v>
      </c>
      <c r="G92" s="17">
        <v>1</v>
      </c>
      <c r="H92" s="18">
        <f t="shared" si="11"/>
        <v>1403000</v>
      </c>
      <c r="I92" s="227">
        <f t="shared" si="9"/>
        <v>1403000</v>
      </c>
      <c r="J92" s="205"/>
      <c r="K92" s="205"/>
      <c r="L92" s="205"/>
      <c r="M92" s="205"/>
      <c r="N92" s="205"/>
      <c r="O92" s="164"/>
      <c r="P92" s="206"/>
      <c r="Q92" s="158"/>
      <c r="R92" s="158"/>
      <c r="S92" s="164"/>
      <c r="T92" s="164"/>
      <c r="U92" s="164"/>
    </row>
    <row r="93" spans="1:21" s="3" customFormat="1" ht="31.15" customHeight="1" x14ac:dyDescent="0.25">
      <c r="A93" s="12"/>
      <c r="B93" s="68" t="s">
        <v>194</v>
      </c>
      <c r="C93" s="23" t="s">
        <v>349</v>
      </c>
      <c r="D93" s="14" t="s">
        <v>13</v>
      </c>
      <c r="E93" s="15">
        <f>14*0.4</f>
        <v>5.6000000000000005</v>
      </c>
      <c r="F93" s="16">
        <v>478888</v>
      </c>
      <c r="G93" s="17">
        <v>1</v>
      </c>
      <c r="H93" s="18">
        <f t="shared" si="11"/>
        <v>2682000</v>
      </c>
      <c r="I93" s="227">
        <f t="shared" si="9"/>
        <v>2682000</v>
      </c>
      <c r="J93" s="174"/>
      <c r="K93" s="153"/>
      <c r="L93" s="153"/>
      <c r="M93" s="153"/>
      <c r="N93" s="153"/>
      <c r="O93" s="153"/>
      <c r="P93" s="153"/>
      <c r="Q93" s="153"/>
      <c r="R93" s="153"/>
      <c r="S93" s="160"/>
      <c r="T93" s="160"/>
      <c r="U93" s="160"/>
    </row>
    <row r="94" spans="1:21" s="3" customFormat="1" ht="31.15" customHeight="1" x14ac:dyDescent="0.25">
      <c r="A94" s="12"/>
      <c r="B94" s="68" t="s">
        <v>195</v>
      </c>
      <c r="C94" s="23" t="s">
        <v>319</v>
      </c>
      <c r="D94" s="14" t="s">
        <v>13</v>
      </c>
      <c r="E94" s="15">
        <f>(13+7.5+7.1*2+2.1*2)*3.8-((2*1.25)+(1.1*1.6*2)+(0.9*2))</f>
        <v>140.00000000000003</v>
      </c>
      <c r="F94" s="16">
        <v>103996</v>
      </c>
      <c r="G94" s="17">
        <v>1</v>
      </c>
      <c r="H94" s="18">
        <f t="shared" si="11"/>
        <v>14559000</v>
      </c>
      <c r="I94" s="227">
        <f t="shared" si="9"/>
        <v>14559000</v>
      </c>
      <c r="J94" s="174"/>
      <c r="K94" s="153"/>
      <c r="L94" s="153"/>
      <c r="M94" s="153"/>
      <c r="N94" s="153"/>
      <c r="O94" s="153"/>
      <c r="P94" s="153"/>
      <c r="Q94" s="153"/>
      <c r="R94" s="153"/>
      <c r="S94" s="160"/>
      <c r="T94" s="160"/>
      <c r="U94" s="160"/>
    </row>
    <row r="95" spans="1:21" s="3" customFormat="1" ht="25.9" customHeight="1" x14ac:dyDescent="0.25">
      <c r="A95" s="12" t="s">
        <v>145</v>
      </c>
      <c r="B95" s="68" t="s">
        <v>196</v>
      </c>
      <c r="C95" s="23"/>
      <c r="D95" s="68"/>
      <c r="E95" s="68"/>
      <c r="F95" s="68"/>
      <c r="G95" s="244"/>
      <c r="H95" s="18"/>
      <c r="I95" s="227">
        <f t="shared" si="9"/>
        <v>0</v>
      </c>
      <c r="J95" s="174"/>
      <c r="K95" s="153"/>
      <c r="L95" s="153"/>
      <c r="M95" s="153"/>
      <c r="N95" s="153"/>
      <c r="O95" s="153"/>
      <c r="P95" s="153"/>
      <c r="Q95" s="153"/>
      <c r="R95" s="153"/>
      <c r="S95" s="160"/>
      <c r="T95" s="160"/>
      <c r="U95" s="160"/>
    </row>
    <row r="96" spans="1:21" s="3" customFormat="1" ht="34.9" customHeight="1" x14ac:dyDescent="0.25">
      <c r="A96" s="31"/>
      <c r="B96" s="34" t="s">
        <v>197</v>
      </c>
      <c r="C96" s="33" t="s">
        <v>262</v>
      </c>
      <c r="D96" s="14" t="s">
        <v>14</v>
      </c>
      <c r="E96" s="15">
        <f>17.5*0.11*0.5</f>
        <v>0.96250000000000002</v>
      </c>
      <c r="F96" s="16">
        <v>2218558</v>
      </c>
      <c r="G96" s="17">
        <v>1</v>
      </c>
      <c r="H96" s="18">
        <f t="shared" ref="H96:H100" si="12">ROUND(E96*F96*G96,-3)</f>
        <v>2135000</v>
      </c>
      <c r="I96" s="227">
        <f t="shared" si="9"/>
        <v>2135000</v>
      </c>
      <c r="J96" s="174"/>
      <c r="K96" s="153"/>
      <c r="L96" s="153"/>
      <c r="M96" s="153"/>
      <c r="N96" s="153"/>
      <c r="O96" s="153"/>
      <c r="P96" s="153"/>
      <c r="Q96" s="181"/>
      <c r="R96" s="181"/>
      <c r="S96" s="160"/>
      <c r="T96" s="160"/>
      <c r="U96" s="160"/>
    </row>
    <row r="97" spans="1:21" s="3" customFormat="1" ht="34.9" customHeight="1" x14ac:dyDescent="0.25">
      <c r="A97" s="31"/>
      <c r="B97" s="34" t="s">
        <v>106</v>
      </c>
      <c r="C97" s="33" t="s">
        <v>307</v>
      </c>
      <c r="D97" s="14" t="s">
        <v>13</v>
      </c>
      <c r="E97" s="15">
        <f>17.5*0.5</f>
        <v>8.75</v>
      </c>
      <c r="F97" s="16">
        <v>322987</v>
      </c>
      <c r="G97" s="17">
        <v>1</v>
      </c>
      <c r="H97" s="18">
        <f t="shared" si="12"/>
        <v>2826000</v>
      </c>
      <c r="I97" s="227">
        <f t="shared" si="9"/>
        <v>2826000</v>
      </c>
      <c r="J97" s="174"/>
      <c r="K97" s="153"/>
      <c r="L97" s="153"/>
      <c r="M97" s="153"/>
      <c r="N97" s="153"/>
      <c r="O97" s="153"/>
      <c r="P97" s="153"/>
      <c r="Q97" s="181"/>
      <c r="R97" s="181"/>
      <c r="S97" s="160"/>
      <c r="T97" s="160"/>
      <c r="U97" s="160"/>
    </row>
    <row r="98" spans="1:21" s="6" customFormat="1" ht="40.5" customHeight="1" x14ac:dyDescent="0.25">
      <c r="A98" s="40"/>
      <c r="B98" s="35" t="s">
        <v>198</v>
      </c>
      <c r="C98" s="41" t="s">
        <v>276</v>
      </c>
      <c r="D98" s="14" t="s">
        <v>14</v>
      </c>
      <c r="E98" s="42">
        <f>0.25*0.25*0.8*9</f>
        <v>0.45</v>
      </c>
      <c r="F98" s="16">
        <v>2543957</v>
      </c>
      <c r="G98" s="243">
        <v>1</v>
      </c>
      <c r="H98" s="43">
        <f t="shared" si="12"/>
        <v>1145000</v>
      </c>
      <c r="I98" s="227">
        <f t="shared" si="9"/>
        <v>1145000</v>
      </c>
      <c r="J98" s="202"/>
      <c r="K98" s="202"/>
      <c r="L98" s="202"/>
      <c r="M98" s="202"/>
      <c r="N98" s="202"/>
      <c r="O98" s="203"/>
      <c r="P98" s="204"/>
      <c r="Q98" s="158"/>
      <c r="R98" s="158"/>
      <c r="S98" s="164"/>
      <c r="T98" s="164"/>
      <c r="U98" s="164"/>
    </row>
    <row r="99" spans="1:21" s="3" customFormat="1" ht="34.9" customHeight="1" x14ac:dyDescent="0.25">
      <c r="A99" s="31"/>
      <c r="B99" s="34" t="s">
        <v>106</v>
      </c>
      <c r="C99" s="33" t="s">
        <v>307</v>
      </c>
      <c r="D99" s="14" t="s">
        <v>13</v>
      </c>
      <c r="E99" s="15">
        <f>0.25*2*0.8*9</f>
        <v>3.6</v>
      </c>
      <c r="F99" s="16">
        <v>322987</v>
      </c>
      <c r="G99" s="17">
        <v>1</v>
      </c>
      <c r="H99" s="18">
        <f t="shared" si="12"/>
        <v>1163000</v>
      </c>
      <c r="I99" s="227">
        <f t="shared" si="9"/>
        <v>1163000</v>
      </c>
      <c r="J99" s="174"/>
      <c r="K99" s="153"/>
      <c r="L99" s="153"/>
      <c r="M99" s="153"/>
      <c r="N99" s="153"/>
      <c r="O99" s="153"/>
      <c r="P99" s="153"/>
      <c r="Q99" s="181"/>
      <c r="R99" s="181"/>
      <c r="S99" s="160"/>
      <c r="T99" s="160"/>
      <c r="U99" s="160"/>
    </row>
    <row r="100" spans="1:21" s="6" customFormat="1" ht="28.15" customHeight="1" x14ac:dyDescent="0.25">
      <c r="A100" s="40"/>
      <c r="B100" s="35" t="s">
        <v>199</v>
      </c>
      <c r="C100" s="41" t="s">
        <v>358</v>
      </c>
      <c r="D100" s="14" t="s">
        <v>200</v>
      </c>
      <c r="E100" s="42">
        <v>1</v>
      </c>
      <c r="F100" s="16">
        <v>820542</v>
      </c>
      <c r="G100" s="243">
        <v>1</v>
      </c>
      <c r="H100" s="43">
        <f t="shared" si="12"/>
        <v>821000</v>
      </c>
      <c r="I100" s="227">
        <f t="shared" si="9"/>
        <v>821000</v>
      </c>
      <c r="J100" s="202"/>
      <c r="K100" s="202"/>
      <c r="L100" s="202"/>
      <c r="M100" s="202"/>
      <c r="N100" s="202"/>
      <c r="O100" s="203"/>
      <c r="P100" s="204"/>
      <c r="Q100" s="158"/>
      <c r="R100" s="158"/>
      <c r="S100" s="164"/>
      <c r="T100" s="164"/>
      <c r="U100" s="164"/>
    </row>
    <row r="101" spans="1:21" s="3" customFormat="1" ht="25.9" customHeight="1" x14ac:dyDescent="0.25">
      <c r="A101" s="12" t="s">
        <v>145</v>
      </c>
      <c r="B101" s="68" t="s">
        <v>201</v>
      </c>
      <c r="C101" s="23"/>
      <c r="D101" s="68"/>
      <c r="E101" s="68"/>
      <c r="F101" s="68"/>
      <c r="G101" s="244"/>
      <c r="H101" s="18"/>
      <c r="I101" s="227">
        <f t="shared" si="9"/>
        <v>0</v>
      </c>
      <c r="J101" s="174"/>
      <c r="K101" s="153"/>
      <c r="L101" s="153"/>
      <c r="M101" s="153"/>
      <c r="N101" s="153"/>
      <c r="O101" s="153"/>
      <c r="P101" s="153"/>
      <c r="Q101" s="153"/>
      <c r="R101" s="153"/>
      <c r="S101" s="160"/>
      <c r="T101" s="160"/>
      <c r="U101" s="160"/>
    </row>
    <row r="102" spans="1:21" s="11" customFormat="1" ht="35.25" customHeight="1" x14ac:dyDescent="0.25">
      <c r="A102" s="14"/>
      <c r="B102" s="444" t="s">
        <v>202</v>
      </c>
      <c r="C102" s="444"/>
      <c r="D102" s="444"/>
      <c r="E102" s="444"/>
      <c r="F102" s="444"/>
      <c r="G102" s="243"/>
      <c r="H102" s="43"/>
      <c r="I102" s="227">
        <f t="shared" si="9"/>
        <v>0</v>
      </c>
      <c r="J102" s="221"/>
      <c r="K102" s="221"/>
      <c r="L102" s="221"/>
      <c r="M102" s="221"/>
      <c r="N102" s="221"/>
      <c r="O102" s="222"/>
      <c r="P102" s="223"/>
      <c r="Q102" s="158"/>
      <c r="R102" s="158"/>
      <c r="S102" s="179"/>
      <c r="T102" s="179"/>
      <c r="U102" s="179"/>
    </row>
    <row r="103" spans="1:21" s="6" customFormat="1" ht="33.75" customHeight="1" x14ac:dyDescent="0.25">
      <c r="A103" s="40"/>
      <c r="B103" s="99" t="s">
        <v>29</v>
      </c>
      <c r="C103" s="41" t="s">
        <v>279</v>
      </c>
      <c r="D103" s="14" t="s">
        <v>14</v>
      </c>
      <c r="E103" s="42">
        <f>1.65*0.55*0.1*3</f>
        <v>0.27224999999999999</v>
      </c>
      <c r="F103" s="16">
        <v>2687552</v>
      </c>
      <c r="G103" s="243">
        <v>1</v>
      </c>
      <c r="H103" s="43">
        <f t="shared" ref="H103:H106" si="13">ROUND(E103*F103*G103,-3)</f>
        <v>732000</v>
      </c>
      <c r="I103" s="227">
        <f t="shared" si="9"/>
        <v>732000</v>
      </c>
      <c r="J103" s="202"/>
      <c r="K103" s="202"/>
      <c r="L103" s="202"/>
      <c r="M103" s="202"/>
      <c r="N103" s="202"/>
      <c r="O103" s="203"/>
      <c r="P103" s="204"/>
      <c r="Q103" s="158"/>
      <c r="R103" s="158"/>
      <c r="S103" s="164"/>
      <c r="T103" s="164"/>
      <c r="U103" s="164"/>
    </row>
    <row r="104" spans="1:21" s="6" customFormat="1" ht="42.75" customHeight="1" x14ac:dyDescent="0.25">
      <c r="A104" s="40"/>
      <c r="B104" s="100" t="s">
        <v>30</v>
      </c>
      <c r="C104" s="41" t="s">
        <v>280</v>
      </c>
      <c r="D104" s="14" t="s">
        <v>15</v>
      </c>
      <c r="E104" s="42">
        <f>((16*0.55)+(5*1.65))*0.395*3</f>
        <v>20.204250000000002</v>
      </c>
      <c r="F104" s="16">
        <v>26982</v>
      </c>
      <c r="G104" s="243">
        <v>1</v>
      </c>
      <c r="H104" s="43">
        <f t="shared" si="13"/>
        <v>545000</v>
      </c>
      <c r="I104" s="227">
        <f t="shared" si="9"/>
        <v>545000</v>
      </c>
      <c r="J104" s="202"/>
      <c r="K104" s="202"/>
      <c r="L104" s="202"/>
      <c r="M104" s="202"/>
      <c r="N104" s="202"/>
      <c r="O104" s="203"/>
      <c r="P104" s="204"/>
      <c r="Q104" s="158"/>
      <c r="R104" s="158"/>
      <c r="S104" s="164"/>
      <c r="T104" s="164"/>
      <c r="U104" s="164"/>
    </row>
    <row r="105" spans="1:21" s="6" customFormat="1" ht="41.25" customHeight="1" x14ac:dyDescent="0.25">
      <c r="A105" s="40"/>
      <c r="B105" s="100" t="s">
        <v>31</v>
      </c>
      <c r="C105" s="41" t="s">
        <v>281</v>
      </c>
      <c r="D105" s="14" t="s">
        <v>13</v>
      </c>
      <c r="E105" s="42">
        <f>((1.65*0.55)+(1.65+0.55)*2*0.1)*3</f>
        <v>4.0425000000000004</v>
      </c>
      <c r="F105" s="16">
        <v>187964</v>
      </c>
      <c r="G105" s="243">
        <v>1</v>
      </c>
      <c r="H105" s="43">
        <f t="shared" si="13"/>
        <v>760000</v>
      </c>
      <c r="I105" s="227">
        <f t="shared" si="9"/>
        <v>760000</v>
      </c>
      <c r="J105" s="202"/>
      <c r="K105" s="202"/>
      <c r="L105" s="202"/>
      <c r="M105" s="202"/>
      <c r="N105" s="202"/>
      <c r="O105" s="203"/>
      <c r="P105" s="204"/>
      <c r="Q105" s="158"/>
      <c r="R105" s="158"/>
      <c r="S105" s="164"/>
      <c r="T105" s="164"/>
      <c r="U105" s="164"/>
    </row>
    <row r="106" spans="1:21" s="3" customFormat="1" ht="26.1" customHeight="1" x14ac:dyDescent="0.25">
      <c r="A106" s="31"/>
      <c r="B106" s="34" t="s">
        <v>203</v>
      </c>
      <c r="C106" s="33" t="s">
        <v>359</v>
      </c>
      <c r="D106" s="14" t="s">
        <v>13</v>
      </c>
      <c r="E106" s="15">
        <f>1.65*0.45*3</f>
        <v>2.2275</v>
      </c>
      <c r="F106" s="16">
        <v>118019</v>
      </c>
      <c r="G106" s="17">
        <v>1</v>
      </c>
      <c r="H106" s="18">
        <f t="shared" si="13"/>
        <v>263000</v>
      </c>
      <c r="I106" s="227">
        <f t="shared" si="9"/>
        <v>263000</v>
      </c>
      <c r="J106" s="174"/>
      <c r="K106" s="153"/>
      <c r="L106" s="153"/>
      <c r="M106" s="153"/>
      <c r="N106" s="153"/>
      <c r="O106" s="153"/>
      <c r="P106" s="153"/>
      <c r="Q106" s="181"/>
      <c r="R106" s="181"/>
      <c r="S106" s="160"/>
      <c r="T106" s="160"/>
      <c r="U106" s="160"/>
    </row>
    <row r="107" spans="1:21" s="11" customFormat="1" ht="35.25" customHeight="1" x14ac:dyDescent="0.25">
      <c r="A107" s="14"/>
      <c r="B107" s="444" t="s">
        <v>204</v>
      </c>
      <c r="C107" s="444"/>
      <c r="D107" s="444"/>
      <c r="E107" s="444"/>
      <c r="F107" s="444"/>
      <c r="G107" s="243"/>
      <c r="H107" s="43"/>
      <c r="I107" s="227">
        <f t="shared" si="9"/>
        <v>0</v>
      </c>
      <c r="J107" s="221"/>
      <c r="K107" s="221"/>
      <c r="L107" s="221"/>
      <c r="M107" s="221"/>
      <c r="N107" s="221"/>
      <c r="O107" s="222"/>
      <c r="P107" s="223"/>
      <c r="Q107" s="158"/>
      <c r="R107" s="158"/>
      <c r="S107" s="179"/>
      <c r="T107" s="179"/>
      <c r="U107" s="179"/>
    </row>
    <row r="108" spans="1:21" s="6" customFormat="1" ht="33.75" customHeight="1" x14ac:dyDescent="0.25">
      <c r="A108" s="40"/>
      <c r="B108" s="99" t="s">
        <v>29</v>
      </c>
      <c r="C108" s="41" t="s">
        <v>279</v>
      </c>
      <c r="D108" s="14" t="s">
        <v>14</v>
      </c>
      <c r="E108" s="42">
        <f>1.7*0.85*0.1*2</f>
        <v>0.28899999999999998</v>
      </c>
      <c r="F108" s="16">
        <v>2687552</v>
      </c>
      <c r="G108" s="243">
        <v>1</v>
      </c>
      <c r="H108" s="43">
        <f t="shared" ref="H108:H117" si="14">ROUND(E108*F108*G108,-3)</f>
        <v>777000</v>
      </c>
      <c r="I108" s="227">
        <f t="shared" si="9"/>
        <v>777000</v>
      </c>
      <c r="J108" s="202"/>
      <c r="K108" s="202"/>
      <c r="L108" s="202"/>
      <c r="M108" s="202"/>
      <c r="N108" s="202"/>
      <c r="O108" s="203"/>
      <c r="P108" s="204"/>
      <c r="Q108" s="158"/>
      <c r="R108" s="158"/>
      <c r="S108" s="164"/>
      <c r="T108" s="164"/>
      <c r="U108" s="164"/>
    </row>
    <row r="109" spans="1:21" s="6" customFormat="1" ht="42.75" customHeight="1" x14ac:dyDescent="0.25">
      <c r="A109" s="40"/>
      <c r="B109" s="100" t="s">
        <v>30</v>
      </c>
      <c r="C109" s="41" t="s">
        <v>280</v>
      </c>
      <c r="D109" s="14" t="s">
        <v>15</v>
      </c>
      <c r="E109" s="42">
        <f>((17*0.85)+(8*1.7))*0.395*2</f>
        <v>22.159499999999998</v>
      </c>
      <c r="F109" s="16">
        <v>26982</v>
      </c>
      <c r="G109" s="243">
        <v>1</v>
      </c>
      <c r="H109" s="43">
        <f t="shared" si="14"/>
        <v>598000</v>
      </c>
      <c r="I109" s="227">
        <f t="shared" si="9"/>
        <v>598000</v>
      </c>
      <c r="J109" s="202"/>
      <c r="K109" s="202"/>
      <c r="L109" s="202"/>
      <c r="M109" s="202"/>
      <c r="N109" s="202"/>
      <c r="O109" s="203"/>
      <c r="P109" s="204"/>
      <c r="Q109" s="158"/>
      <c r="R109" s="158"/>
      <c r="S109" s="164"/>
      <c r="T109" s="164"/>
      <c r="U109" s="164"/>
    </row>
    <row r="110" spans="1:21" s="6" customFormat="1" ht="41.25" customHeight="1" x14ac:dyDescent="0.25">
      <c r="A110" s="40"/>
      <c r="B110" s="100" t="s">
        <v>31</v>
      </c>
      <c r="C110" s="41" t="s">
        <v>281</v>
      </c>
      <c r="D110" s="14" t="s">
        <v>13</v>
      </c>
      <c r="E110" s="42">
        <f>((1.7*0.85)+(1.7+0.85)*2*0.1)*2</f>
        <v>3.9099999999999997</v>
      </c>
      <c r="F110" s="16">
        <v>187964</v>
      </c>
      <c r="G110" s="243">
        <v>1</v>
      </c>
      <c r="H110" s="43">
        <f t="shared" si="14"/>
        <v>735000</v>
      </c>
      <c r="I110" s="227">
        <f t="shared" si="9"/>
        <v>735000</v>
      </c>
      <c r="J110" s="202"/>
      <c r="K110" s="202"/>
      <c r="L110" s="202"/>
      <c r="M110" s="202"/>
      <c r="N110" s="202"/>
      <c r="O110" s="203"/>
      <c r="P110" s="204"/>
      <c r="Q110" s="158"/>
      <c r="R110" s="158"/>
      <c r="S110" s="164"/>
      <c r="T110" s="164"/>
      <c r="U110" s="164"/>
    </row>
    <row r="111" spans="1:21" s="3" customFormat="1" ht="26.1" customHeight="1" x14ac:dyDescent="0.25">
      <c r="A111" s="31"/>
      <c r="B111" s="34" t="s">
        <v>203</v>
      </c>
      <c r="C111" s="33" t="s">
        <v>359</v>
      </c>
      <c r="D111" s="14" t="s">
        <v>13</v>
      </c>
      <c r="E111" s="15">
        <f>1.7*0.75*2</f>
        <v>2.5499999999999998</v>
      </c>
      <c r="F111" s="16">
        <v>118019</v>
      </c>
      <c r="G111" s="17">
        <v>1</v>
      </c>
      <c r="H111" s="18">
        <f t="shared" si="14"/>
        <v>301000</v>
      </c>
      <c r="I111" s="227">
        <f t="shared" si="9"/>
        <v>301000</v>
      </c>
      <c r="J111" s="174"/>
      <c r="K111" s="153"/>
      <c r="L111" s="153"/>
      <c r="M111" s="153"/>
      <c r="N111" s="153"/>
      <c r="O111" s="153"/>
      <c r="P111" s="153"/>
      <c r="Q111" s="181"/>
      <c r="R111" s="181"/>
      <c r="S111" s="160"/>
      <c r="T111" s="160"/>
      <c r="U111" s="160"/>
    </row>
    <row r="112" spans="1:21" s="3" customFormat="1" ht="26.1" customHeight="1" x14ac:dyDescent="0.25">
      <c r="A112" s="31"/>
      <c r="B112" s="34" t="s">
        <v>205</v>
      </c>
      <c r="C112" s="33" t="s">
        <v>110</v>
      </c>
      <c r="D112" s="14" t="s">
        <v>13</v>
      </c>
      <c r="E112" s="15">
        <f>1.7*0.75*2</f>
        <v>2.5499999999999998</v>
      </c>
      <c r="F112" s="16">
        <v>400000</v>
      </c>
      <c r="G112" s="17">
        <v>1</v>
      </c>
      <c r="H112" s="18">
        <f t="shared" si="14"/>
        <v>1020000</v>
      </c>
      <c r="I112" s="227">
        <f t="shared" si="9"/>
        <v>1020000</v>
      </c>
      <c r="J112" s="174"/>
      <c r="K112" s="153"/>
      <c r="L112" s="153"/>
      <c r="M112" s="153"/>
      <c r="N112" s="153"/>
      <c r="O112" s="153"/>
      <c r="P112" s="153"/>
      <c r="Q112" s="181"/>
      <c r="R112" s="181"/>
      <c r="S112" s="160"/>
      <c r="T112" s="160"/>
      <c r="U112" s="160"/>
    </row>
    <row r="113" spans="1:21" s="3" customFormat="1" ht="34.15" customHeight="1" x14ac:dyDescent="0.25">
      <c r="A113" s="31"/>
      <c r="B113" s="34" t="s">
        <v>234</v>
      </c>
      <c r="C113" s="33"/>
      <c r="D113" s="14" t="s">
        <v>233</v>
      </c>
      <c r="E113" s="15">
        <v>1</v>
      </c>
      <c r="F113" s="138">
        <f>SUM(H23:H112)</f>
        <v>608168000</v>
      </c>
      <c r="G113" s="113">
        <v>0.06</v>
      </c>
      <c r="H113" s="18">
        <f t="shared" si="14"/>
        <v>36490000</v>
      </c>
      <c r="I113" s="227">
        <f t="shared" si="9"/>
        <v>36490000</v>
      </c>
      <c r="J113" s="174"/>
      <c r="K113" s="153"/>
      <c r="L113" s="153"/>
      <c r="M113" s="153"/>
      <c r="N113" s="153"/>
      <c r="O113" s="153"/>
      <c r="P113" s="153"/>
      <c r="Q113" s="181"/>
      <c r="R113" s="181"/>
      <c r="S113" s="160"/>
      <c r="T113" s="160"/>
      <c r="U113" s="160"/>
    </row>
    <row r="114" spans="1:21" s="10" customFormat="1" ht="25.9" customHeight="1" x14ac:dyDescent="0.25">
      <c r="A114" s="102">
        <v>2</v>
      </c>
      <c r="B114" s="114" t="s">
        <v>206</v>
      </c>
      <c r="C114" s="115"/>
      <c r="D114" s="69"/>
      <c r="E114" s="116"/>
      <c r="F114" s="73"/>
      <c r="G114" s="106"/>
      <c r="H114" s="104">
        <f>SUM(H115:H117)</f>
        <v>28247000</v>
      </c>
      <c r="I114" s="227">
        <f t="shared" si="9"/>
        <v>0</v>
      </c>
      <c r="J114" s="211"/>
      <c r="K114" s="169"/>
      <c r="L114" s="169"/>
      <c r="M114" s="169"/>
      <c r="N114" s="169"/>
      <c r="O114" s="169"/>
      <c r="P114" s="169"/>
      <c r="Q114" s="212"/>
      <c r="R114" s="212"/>
      <c r="S114" s="170"/>
      <c r="T114" s="170"/>
      <c r="U114" s="170"/>
    </row>
    <row r="115" spans="1:21" s="3" customFormat="1" ht="36.6" customHeight="1" x14ac:dyDescent="0.25">
      <c r="A115" s="31"/>
      <c r="B115" s="34" t="s">
        <v>207</v>
      </c>
      <c r="C115" s="33" t="s">
        <v>360</v>
      </c>
      <c r="D115" s="14" t="s">
        <v>13</v>
      </c>
      <c r="E115" s="15">
        <f>6.1*4.4</f>
        <v>26.84</v>
      </c>
      <c r="F115" s="16">
        <v>515771</v>
      </c>
      <c r="G115" s="17">
        <v>1</v>
      </c>
      <c r="H115" s="18">
        <f t="shared" si="14"/>
        <v>13843000</v>
      </c>
      <c r="I115" s="227">
        <f t="shared" si="9"/>
        <v>13843000</v>
      </c>
      <c r="J115" s="174"/>
      <c r="K115" s="153"/>
      <c r="L115" s="153"/>
      <c r="M115" s="153"/>
      <c r="N115" s="153"/>
      <c r="O115" s="153"/>
      <c r="P115" s="153"/>
      <c r="Q115" s="181"/>
      <c r="R115" s="181"/>
      <c r="S115" s="160"/>
      <c r="T115" s="160"/>
      <c r="U115" s="160"/>
    </row>
    <row r="116" spans="1:21" s="3" customFormat="1" ht="25.9" customHeight="1" x14ac:dyDescent="0.25">
      <c r="A116" s="31"/>
      <c r="B116" s="34" t="s">
        <v>208</v>
      </c>
      <c r="C116" s="33" t="s">
        <v>361</v>
      </c>
      <c r="D116" s="14" t="s">
        <v>13</v>
      </c>
      <c r="E116" s="15">
        <f>6.1*0.7+4.4*1*2</f>
        <v>13.07</v>
      </c>
      <c r="F116" s="16">
        <v>364548</v>
      </c>
      <c r="G116" s="17">
        <v>1</v>
      </c>
      <c r="H116" s="18">
        <f t="shared" si="14"/>
        <v>4765000</v>
      </c>
      <c r="I116" s="227">
        <f t="shared" si="9"/>
        <v>4765000</v>
      </c>
      <c r="J116" s="174"/>
      <c r="K116" s="153"/>
      <c r="L116" s="153"/>
      <c r="M116" s="153"/>
      <c r="N116" s="153"/>
      <c r="O116" s="153"/>
      <c r="P116" s="153"/>
      <c r="Q116" s="181"/>
      <c r="R116" s="181"/>
      <c r="S116" s="160"/>
      <c r="T116" s="160"/>
      <c r="U116" s="160"/>
    </row>
    <row r="117" spans="1:21" s="3" customFormat="1" ht="38.450000000000003" customHeight="1" x14ac:dyDescent="0.25">
      <c r="A117" s="31"/>
      <c r="B117" s="34" t="s">
        <v>209</v>
      </c>
      <c r="C117" s="33" t="s">
        <v>362</v>
      </c>
      <c r="D117" s="14" t="s">
        <v>13</v>
      </c>
      <c r="E117" s="15">
        <f>6.1*4.4</f>
        <v>26.84</v>
      </c>
      <c r="F117" s="16">
        <v>359110</v>
      </c>
      <c r="G117" s="17">
        <v>1</v>
      </c>
      <c r="H117" s="18">
        <f t="shared" si="14"/>
        <v>9639000</v>
      </c>
      <c r="I117" s="227">
        <f t="shared" si="9"/>
        <v>9639000</v>
      </c>
      <c r="J117" s="174"/>
      <c r="K117" s="153"/>
      <c r="L117" s="153"/>
      <c r="M117" s="153"/>
      <c r="N117" s="153"/>
      <c r="O117" s="153"/>
      <c r="P117" s="153"/>
      <c r="Q117" s="181"/>
      <c r="R117" s="181"/>
      <c r="S117" s="160"/>
      <c r="T117" s="160"/>
      <c r="U117" s="160"/>
    </row>
    <row r="118" spans="1:21" s="10" customFormat="1" ht="25.9" customHeight="1" x14ac:dyDescent="0.25">
      <c r="A118" s="102">
        <v>3</v>
      </c>
      <c r="B118" s="114" t="s">
        <v>210</v>
      </c>
      <c r="C118" s="115"/>
      <c r="D118" s="69"/>
      <c r="E118" s="116"/>
      <c r="F118" s="73"/>
      <c r="G118" s="106"/>
      <c r="H118" s="104">
        <f>SUM(H119:H134)</f>
        <v>49112000</v>
      </c>
      <c r="I118" s="227">
        <f t="shared" si="9"/>
        <v>0</v>
      </c>
      <c r="J118" s="211"/>
      <c r="K118" s="169"/>
      <c r="L118" s="169"/>
      <c r="M118" s="169"/>
      <c r="N118" s="169"/>
      <c r="O118" s="169"/>
      <c r="P118" s="169"/>
      <c r="Q118" s="212"/>
      <c r="R118" s="212"/>
      <c r="S118" s="170"/>
      <c r="T118" s="170"/>
      <c r="U118" s="170"/>
    </row>
    <row r="119" spans="1:21" s="3" customFormat="1" ht="36.6" customHeight="1" x14ac:dyDescent="0.25">
      <c r="A119" s="31"/>
      <c r="B119" s="34" t="s">
        <v>211</v>
      </c>
      <c r="C119" s="33" t="s">
        <v>361</v>
      </c>
      <c r="D119" s="14" t="s">
        <v>13</v>
      </c>
      <c r="E119" s="15">
        <f>8.7*2</f>
        <v>17.399999999999999</v>
      </c>
      <c r="F119" s="16">
        <v>364548</v>
      </c>
      <c r="G119" s="17">
        <v>1</v>
      </c>
      <c r="H119" s="18">
        <f t="shared" ref="H119:H121" si="15">ROUND(E119*F119*G119,-3)</f>
        <v>6343000</v>
      </c>
      <c r="I119" s="227">
        <f t="shared" si="9"/>
        <v>6343000</v>
      </c>
      <c r="J119" s="174"/>
      <c r="K119" s="153"/>
      <c r="L119" s="153"/>
      <c r="M119" s="153"/>
      <c r="N119" s="153"/>
      <c r="O119" s="153"/>
      <c r="P119" s="153"/>
      <c r="Q119" s="181"/>
      <c r="R119" s="181"/>
      <c r="S119" s="160"/>
      <c r="T119" s="160"/>
      <c r="U119" s="160"/>
    </row>
    <row r="120" spans="1:21" s="3" customFormat="1" ht="25.9" customHeight="1" x14ac:dyDescent="0.25">
      <c r="A120" s="31"/>
      <c r="B120" s="34" t="s">
        <v>208</v>
      </c>
      <c r="C120" s="33" t="s">
        <v>361</v>
      </c>
      <c r="D120" s="14" t="s">
        <v>13</v>
      </c>
      <c r="E120" s="15">
        <f>8.7*0.6+2*1.3*2</f>
        <v>10.42</v>
      </c>
      <c r="F120" s="16">
        <v>364548</v>
      </c>
      <c r="G120" s="17">
        <v>1</v>
      </c>
      <c r="H120" s="18">
        <f t="shared" si="15"/>
        <v>3799000</v>
      </c>
      <c r="I120" s="227">
        <f t="shared" si="9"/>
        <v>3799000</v>
      </c>
      <c r="J120" s="174"/>
      <c r="K120" s="153"/>
      <c r="L120" s="153"/>
      <c r="M120" s="153"/>
      <c r="N120" s="153"/>
      <c r="O120" s="153"/>
      <c r="P120" s="153"/>
      <c r="Q120" s="181"/>
      <c r="R120" s="181"/>
      <c r="S120" s="160"/>
      <c r="T120" s="160"/>
      <c r="U120" s="160"/>
    </row>
    <row r="121" spans="1:21" s="3" customFormat="1" ht="36.6" customHeight="1" x14ac:dyDescent="0.25">
      <c r="A121" s="31"/>
      <c r="B121" s="34" t="s">
        <v>212</v>
      </c>
      <c r="C121" s="33" t="s">
        <v>110</v>
      </c>
      <c r="D121" s="14" t="s">
        <v>13</v>
      </c>
      <c r="E121" s="15">
        <f>12.7*2.15</f>
        <v>27.304999999999996</v>
      </c>
      <c r="F121" s="16">
        <v>367000</v>
      </c>
      <c r="G121" s="17">
        <v>1</v>
      </c>
      <c r="H121" s="18">
        <f t="shared" si="15"/>
        <v>10021000</v>
      </c>
      <c r="I121" s="227">
        <f t="shared" si="9"/>
        <v>10021000</v>
      </c>
      <c r="J121" s="174"/>
      <c r="K121" s="153"/>
      <c r="L121" s="153"/>
      <c r="M121" s="153"/>
      <c r="N121" s="153"/>
      <c r="O121" s="153"/>
      <c r="P121" s="153"/>
      <c r="Q121" s="181"/>
      <c r="R121" s="181"/>
      <c r="S121" s="160"/>
      <c r="T121" s="160"/>
      <c r="U121" s="160"/>
    </row>
    <row r="122" spans="1:21" s="11" customFormat="1" ht="39.950000000000003" customHeight="1" x14ac:dyDescent="0.25">
      <c r="A122" s="14"/>
      <c r="B122" s="35" t="s">
        <v>213</v>
      </c>
      <c r="C122" s="41" t="s">
        <v>363</v>
      </c>
      <c r="D122" s="14" t="s">
        <v>13</v>
      </c>
      <c r="E122" s="42">
        <f>1.5*2</f>
        <v>3</v>
      </c>
      <c r="F122" s="16">
        <v>1307970</v>
      </c>
      <c r="G122" s="243">
        <v>1</v>
      </c>
      <c r="H122" s="43">
        <f>ROUND(E122*F122*G122,-3)</f>
        <v>3924000</v>
      </c>
      <c r="I122" s="227">
        <f t="shared" si="9"/>
        <v>3924000</v>
      </c>
      <c r="J122" s="221"/>
      <c r="K122" s="221"/>
      <c r="L122" s="221"/>
      <c r="M122" s="221"/>
      <c r="N122" s="221"/>
      <c r="O122" s="222"/>
      <c r="P122" s="223"/>
      <c r="Q122" s="158"/>
      <c r="R122" s="158"/>
      <c r="S122" s="179"/>
      <c r="T122" s="179"/>
      <c r="U122" s="179"/>
    </row>
    <row r="123" spans="1:21" s="3" customFormat="1" ht="25.9" customHeight="1" x14ac:dyDescent="0.25">
      <c r="A123" s="31"/>
      <c r="B123" s="34" t="s">
        <v>214</v>
      </c>
      <c r="C123" s="33" t="s">
        <v>364</v>
      </c>
      <c r="D123" s="14" t="s">
        <v>13</v>
      </c>
      <c r="E123" s="15">
        <f>4*2.25</f>
        <v>9</v>
      </c>
      <c r="F123" s="16">
        <v>89239</v>
      </c>
      <c r="G123" s="17">
        <v>1</v>
      </c>
      <c r="H123" s="18">
        <f t="shared" ref="H123" si="16">ROUND(E123*F123*G123,-3)</f>
        <v>803000</v>
      </c>
      <c r="I123" s="227">
        <f t="shared" si="9"/>
        <v>803000</v>
      </c>
      <c r="J123" s="174"/>
      <c r="K123" s="153"/>
      <c r="L123" s="153"/>
      <c r="M123" s="153"/>
      <c r="N123" s="153"/>
      <c r="O123" s="153"/>
      <c r="P123" s="153"/>
      <c r="Q123" s="181"/>
      <c r="R123" s="181"/>
      <c r="S123" s="160"/>
      <c r="T123" s="160"/>
      <c r="U123" s="160"/>
    </row>
    <row r="124" spans="1:21" s="3" customFormat="1" ht="33" customHeight="1" x14ac:dyDescent="0.25">
      <c r="A124" s="31"/>
      <c r="B124" s="444" t="s">
        <v>215</v>
      </c>
      <c r="C124" s="444"/>
      <c r="D124" s="444"/>
      <c r="E124" s="444"/>
      <c r="F124" s="444"/>
      <c r="G124" s="113"/>
      <c r="H124" s="18"/>
      <c r="I124" s="227">
        <f t="shared" si="9"/>
        <v>0</v>
      </c>
      <c r="J124" s="174"/>
      <c r="K124" s="153"/>
      <c r="L124" s="153"/>
      <c r="M124" s="153"/>
      <c r="N124" s="153"/>
      <c r="O124" s="153"/>
      <c r="P124" s="153"/>
      <c r="Q124" s="153"/>
      <c r="R124" s="153"/>
      <c r="S124" s="160"/>
      <c r="T124" s="160"/>
      <c r="U124" s="160"/>
    </row>
    <row r="125" spans="1:21" s="3" customFormat="1" ht="26.1" customHeight="1" x14ac:dyDescent="0.25">
      <c r="A125" s="31"/>
      <c r="B125" s="34" t="s">
        <v>41</v>
      </c>
      <c r="C125" s="33" t="s">
        <v>284</v>
      </c>
      <c r="D125" s="14" t="s">
        <v>14</v>
      </c>
      <c r="E125" s="15">
        <f>12.7*0.5*0.5</f>
        <v>3.1749999999999998</v>
      </c>
      <c r="F125" s="16">
        <v>266100</v>
      </c>
      <c r="G125" s="17">
        <v>1</v>
      </c>
      <c r="H125" s="18">
        <f t="shared" ref="H125:H134" si="17">ROUND(E125*F125*G125,-3)</f>
        <v>845000</v>
      </c>
      <c r="I125" s="227">
        <f t="shared" si="9"/>
        <v>845000</v>
      </c>
      <c r="J125" s="174"/>
      <c r="K125" s="153"/>
      <c r="L125" s="153"/>
      <c r="M125" s="153"/>
      <c r="N125" s="153"/>
      <c r="O125" s="153"/>
      <c r="P125" s="153"/>
      <c r="Q125" s="181"/>
      <c r="R125" s="181"/>
      <c r="S125" s="160"/>
      <c r="T125" s="160"/>
      <c r="U125" s="160"/>
    </row>
    <row r="126" spans="1:21" s="3" customFormat="1" ht="26.1" customHeight="1" x14ac:dyDescent="0.25">
      <c r="A126" s="31"/>
      <c r="B126" s="34" t="s">
        <v>42</v>
      </c>
      <c r="C126" s="33" t="s">
        <v>274</v>
      </c>
      <c r="D126" s="14" t="s">
        <v>14</v>
      </c>
      <c r="E126" s="15">
        <f>E125/3</f>
        <v>1.0583333333333333</v>
      </c>
      <c r="F126" s="16">
        <v>185275</v>
      </c>
      <c r="G126" s="17">
        <v>1</v>
      </c>
      <c r="H126" s="18">
        <f t="shared" si="17"/>
        <v>196000</v>
      </c>
      <c r="I126" s="227">
        <f t="shared" si="9"/>
        <v>196000</v>
      </c>
      <c r="J126" s="174"/>
      <c r="K126" s="153"/>
      <c r="L126" s="153"/>
      <c r="M126" s="153"/>
      <c r="N126" s="153"/>
      <c r="O126" s="153"/>
      <c r="P126" s="153"/>
      <c r="Q126" s="181"/>
      <c r="R126" s="181"/>
      <c r="S126" s="160"/>
      <c r="T126" s="160"/>
      <c r="U126" s="160"/>
    </row>
    <row r="127" spans="1:21" s="3" customFormat="1" ht="26.1" customHeight="1" x14ac:dyDescent="0.25">
      <c r="A127" s="31"/>
      <c r="B127" s="34" t="s">
        <v>43</v>
      </c>
      <c r="C127" s="33" t="s">
        <v>285</v>
      </c>
      <c r="D127" s="14" t="s">
        <v>14</v>
      </c>
      <c r="E127" s="15">
        <f>12.7*0.33*0.5</f>
        <v>2.0954999999999999</v>
      </c>
      <c r="F127" s="16">
        <v>1869307</v>
      </c>
      <c r="G127" s="17">
        <v>1</v>
      </c>
      <c r="H127" s="18">
        <f t="shared" si="17"/>
        <v>3917000</v>
      </c>
      <c r="I127" s="227">
        <f t="shared" si="9"/>
        <v>3917000</v>
      </c>
      <c r="J127" s="174"/>
      <c r="K127" s="153"/>
      <c r="L127" s="153"/>
      <c r="M127" s="153"/>
      <c r="N127" s="153"/>
      <c r="O127" s="153"/>
      <c r="P127" s="153"/>
      <c r="Q127" s="181"/>
      <c r="R127" s="181"/>
      <c r="S127" s="160"/>
      <c r="T127" s="160"/>
      <c r="U127" s="160"/>
    </row>
    <row r="128" spans="1:21" s="3" customFormat="1" ht="34.9" customHeight="1" x14ac:dyDescent="0.25">
      <c r="A128" s="31"/>
      <c r="B128" s="34" t="s">
        <v>73</v>
      </c>
      <c r="C128" s="33" t="s">
        <v>292</v>
      </c>
      <c r="D128" s="14" t="s">
        <v>14</v>
      </c>
      <c r="E128" s="15">
        <f>12.7*0.22*1.45</f>
        <v>4.0513000000000003</v>
      </c>
      <c r="F128" s="16">
        <v>2016276</v>
      </c>
      <c r="G128" s="17">
        <v>1</v>
      </c>
      <c r="H128" s="18">
        <f t="shared" si="17"/>
        <v>8169000</v>
      </c>
      <c r="I128" s="227">
        <f t="shared" si="9"/>
        <v>8169000</v>
      </c>
      <c r="J128" s="174"/>
      <c r="K128" s="153"/>
      <c r="L128" s="153"/>
      <c r="M128" s="153"/>
      <c r="N128" s="153"/>
      <c r="O128" s="153"/>
      <c r="P128" s="153"/>
      <c r="Q128" s="181"/>
      <c r="R128" s="181"/>
      <c r="S128" s="160"/>
      <c r="T128" s="160"/>
      <c r="U128" s="160"/>
    </row>
    <row r="129" spans="1:21" s="3" customFormat="1" ht="26.1" customHeight="1" x14ac:dyDescent="0.25">
      <c r="A129" s="31"/>
      <c r="B129" s="34" t="s">
        <v>47</v>
      </c>
      <c r="C129" s="33" t="s">
        <v>286</v>
      </c>
      <c r="D129" s="14" t="s">
        <v>13</v>
      </c>
      <c r="E129" s="15">
        <f>12.7*1.45*2</f>
        <v>36.83</v>
      </c>
      <c r="F129" s="16">
        <v>122264</v>
      </c>
      <c r="G129" s="17">
        <v>1</v>
      </c>
      <c r="H129" s="18">
        <f t="shared" si="17"/>
        <v>4503000</v>
      </c>
      <c r="I129" s="227">
        <f t="shared" si="9"/>
        <v>4503000</v>
      </c>
      <c r="J129" s="174"/>
      <c r="K129" s="153"/>
      <c r="L129" s="153"/>
      <c r="M129" s="153"/>
      <c r="N129" s="153"/>
      <c r="O129" s="153"/>
      <c r="P129" s="153"/>
      <c r="Q129" s="181"/>
      <c r="R129" s="181"/>
      <c r="S129" s="160"/>
      <c r="T129" s="160"/>
      <c r="U129" s="160"/>
    </row>
    <row r="130" spans="1:21" s="3" customFormat="1" ht="25.9" customHeight="1" x14ac:dyDescent="0.25">
      <c r="A130" s="12"/>
      <c r="B130" s="68" t="s">
        <v>216</v>
      </c>
      <c r="C130" s="33" t="s">
        <v>298</v>
      </c>
      <c r="D130" s="14" t="s">
        <v>13</v>
      </c>
      <c r="E130" s="15">
        <f>8.7*1.8</f>
        <v>15.659999999999998</v>
      </c>
      <c r="F130" s="16">
        <v>315499</v>
      </c>
      <c r="G130" s="17">
        <v>1</v>
      </c>
      <c r="H130" s="18">
        <f t="shared" si="17"/>
        <v>4941000</v>
      </c>
      <c r="I130" s="227">
        <f t="shared" si="9"/>
        <v>4941000</v>
      </c>
      <c r="J130" s="174"/>
      <c r="K130" s="153"/>
      <c r="L130" s="153"/>
      <c r="M130" s="153"/>
      <c r="N130" s="153"/>
      <c r="O130" s="153"/>
      <c r="P130" s="153"/>
      <c r="Q130" s="181"/>
      <c r="R130" s="181"/>
      <c r="S130" s="160"/>
      <c r="T130" s="160"/>
      <c r="U130" s="160"/>
    </row>
    <row r="131" spans="1:21" s="3" customFormat="1" ht="34.9" customHeight="1" x14ac:dyDescent="0.25">
      <c r="A131" s="31"/>
      <c r="B131" s="34" t="s">
        <v>218</v>
      </c>
      <c r="C131" s="33" t="s">
        <v>292</v>
      </c>
      <c r="D131" s="14" t="s">
        <v>14</v>
      </c>
      <c r="E131" s="15">
        <f>1.6*0.4*0.2*2</f>
        <v>0.25600000000000006</v>
      </c>
      <c r="F131" s="16">
        <v>2016276</v>
      </c>
      <c r="G131" s="17">
        <v>1</v>
      </c>
      <c r="H131" s="18">
        <f t="shared" si="17"/>
        <v>516000</v>
      </c>
      <c r="I131" s="227">
        <f t="shared" si="9"/>
        <v>516000</v>
      </c>
      <c r="J131" s="174"/>
      <c r="K131" s="153"/>
      <c r="L131" s="153"/>
      <c r="M131" s="153"/>
      <c r="N131" s="153"/>
      <c r="O131" s="153"/>
      <c r="P131" s="153"/>
      <c r="Q131" s="181"/>
      <c r="R131" s="181"/>
      <c r="S131" s="160"/>
      <c r="T131" s="160"/>
      <c r="U131" s="160"/>
    </row>
    <row r="132" spans="1:21" s="6" customFormat="1" ht="31.9" customHeight="1" x14ac:dyDescent="0.25">
      <c r="A132" s="40"/>
      <c r="B132" s="101" t="s">
        <v>217</v>
      </c>
      <c r="C132" s="41" t="s">
        <v>365</v>
      </c>
      <c r="D132" s="14" t="s">
        <v>13</v>
      </c>
      <c r="E132" s="42">
        <f>1.6*(0.4+0.2)*2</f>
        <v>1.9200000000000004</v>
      </c>
      <c r="F132" s="16">
        <v>320036</v>
      </c>
      <c r="G132" s="17">
        <v>1</v>
      </c>
      <c r="H132" s="18">
        <f t="shared" si="17"/>
        <v>614000</v>
      </c>
      <c r="I132" s="227">
        <f t="shared" si="9"/>
        <v>614000</v>
      </c>
      <c r="J132" s="205"/>
      <c r="K132" s="205"/>
      <c r="L132" s="205"/>
      <c r="M132" s="205"/>
      <c r="N132" s="205"/>
      <c r="O132" s="164"/>
      <c r="P132" s="206"/>
      <c r="Q132" s="158"/>
      <c r="R132" s="158"/>
      <c r="S132" s="164"/>
      <c r="T132" s="164"/>
      <c r="U132" s="164"/>
    </row>
    <row r="133" spans="1:21" s="3" customFormat="1" ht="34.9" customHeight="1" x14ac:dyDescent="0.25">
      <c r="A133" s="31"/>
      <c r="B133" s="34" t="s">
        <v>219</v>
      </c>
      <c r="C133" s="33" t="s">
        <v>292</v>
      </c>
      <c r="D133" s="14" t="s">
        <v>14</v>
      </c>
      <c r="E133" s="15">
        <f>1.25*0.35*0.2*2</f>
        <v>0.17500000000000002</v>
      </c>
      <c r="F133" s="16">
        <v>2016276</v>
      </c>
      <c r="G133" s="17">
        <v>1</v>
      </c>
      <c r="H133" s="18">
        <f t="shared" si="17"/>
        <v>353000</v>
      </c>
      <c r="I133" s="227">
        <f t="shared" si="9"/>
        <v>353000</v>
      </c>
      <c r="J133" s="174"/>
      <c r="K133" s="153"/>
      <c r="L133" s="153"/>
      <c r="M133" s="153"/>
      <c r="N133" s="153"/>
      <c r="O133" s="153"/>
      <c r="P133" s="153"/>
      <c r="Q133" s="181"/>
      <c r="R133" s="181"/>
      <c r="S133" s="160"/>
      <c r="T133" s="160"/>
      <c r="U133" s="160"/>
    </row>
    <row r="134" spans="1:21" s="3" customFormat="1" ht="26.1" customHeight="1" x14ac:dyDescent="0.25">
      <c r="A134" s="31"/>
      <c r="B134" s="34" t="s">
        <v>220</v>
      </c>
      <c r="C134" s="33" t="s">
        <v>286</v>
      </c>
      <c r="D134" s="14" t="s">
        <v>13</v>
      </c>
      <c r="E134" s="15">
        <f>1.25*(0.35+0.2)*2</f>
        <v>1.375</v>
      </c>
      <c r="F134" s="16">
        <v>122264</v>
      </c>
      <c r="G134" s="17">
        <v>1</v>
      </c>
      <c r="H134" s="18">
        <f t="shared" si="17"/>
        <v>168000</v>
      </c>
      <c r="I134" s="227">
        <f t="shared" si="9"/>
        <v>168000</v>
      </c>
      <c r="J134" s="174"/>
      <c r="K134" s="153"/>
      <c r="L134" s="153"/>
      <c r="M134" s="153"/>
      <c r="N134" s="153"/>
      <c r="O134" s="153"/>
      <c r="P134" s="153"/>
      <c r="Q134" s="181"/>
      <c r="R134" s="181"/>
      <c r="S134" s="160"/>
      <c r="T134" s="160"/>
      <c r="U134" s="160"/>
    </row>
    <row r="135" spans="1:21" s="6" customFormat="1" ht="52.9" customHeight="1" x14ac:dyDescent="0.25">
      <c r="A135" s="69">
        <v>4</v>
      </c>
      <c r="B135" s="434" t="s">
        <v>265</v>
      </c>
      <c r="C135" s="434"/>
      <c r="D135" s="434"/>
      <c r="E135" s="434"/>
      <c r="F135" s="434"/>
      <c r="G135" s="110"/>
      <c r="H135" s="29">
        <f>H136</f>
        <v>47323000</v>
      </c>
      <c r="I135" s="227">
        <f t="shared" ref="I135:I198" si="18">ROUND(G135*F135*E135,-3)</f>
        <v>0</v>
      </c>
      <c r="J135" s="202"/>
      <c r="K135" s="202"/>
      <c r="L135" s="202"/>
      <c r="M135" s="202"/>
      <c r="N135" s="202"/>
      <c r="O135" s="203"/>
      <c r="P135" s="204"/>
      <c r="Q135" s="163"/>
      <c r="R135" s="163"/>
      <c r="S135" s="164"/>
      <c r="T135" s="164"/>
      <c r="U135" s="164"/>
    </row>
    <row r="136" spans="1:21" s="3" customFormat="1" ht="25.9" customHeight="1" x14ac:dyDescent="0.25">
      <c r="A136" s="12"/>
      <c r="B136" s="68" t="s">
        <v>144</v>
      </c>
      <c r="C136" s="23" t="s">
        <v>313</v>
      </c>
      <c r="D136" s="14" t="s">
        <v>13</v>
      </c>
      <c r="E136" s="15">
        <f>6.7*3</f>
        <v>20.100000000000001</v>
      </c>
      <c r="F136" s="16">
        <v>2354383</v>
      </c>
      <c r="G136" s="17">
        <v>1</v>
      </c>
      <c r="H136" s="18">
        <f t="shared" ref="H136" si="19">ROUND(E136*F136*G136,-3)</f>
        <v>47323000</v>
      </c>
      <c r="I136" s="227">
        <f t="shared" si="18"/>
        <v>47323000</v>
      </c>
      <c r="J136" s="200"/>
      <c r="K136" s="153"/>
      <c r="L136" s="153"/>
      <c r="M136" s="153"/>
      <c r="N136" s="153"/>
      <c r="O136" s="153"/>
      <c r="P136" s="153"/>
      <c r="Q136" s="181"/>
      <c r="R136" s="181"/>
      <c r="S136" s="160"/>
      <c r="T136" s="160"/>
      <c r="U136" s="160"/>
    </row>
    <row r="137" spans="1:21" s="10" customFormat="1" ht="33" customHeight="1" x14ac:dyDescent="0.25">
      <c r="A137" s="102">
        <v>5</v>
      </c>
      <c r="B137" s="435" t="s">
        <v>221</v>
      </c>
      <c r="C137" s="435"/>
      <c r="D137" s="435"/>
      <c r="E137" s="435"/>
      <c r="F137" s="435"/>
      <c r="G137" s="103"/>
      <c r="H137" s="104">
        <f>SUM(H138:H141)</f>
        <v>8763000</v>
      </c>
      <c r="I137" s="227">
        <f t="shared" si="18"/>
        <v>0</v>
      </c>
      <c r="J137" s="211"/>
      <c r="K137" s="169"/>
      <c r="L137" s="169"/>
      <c r="M137" s="169"/>
      <c r="N137" s="169"/>
      <c r="O137" s="169"/>
      <c r="P137" s="169"/>
      <c r="Q137" s="169"/>
      <c r="R137" s="169"/>
      <c r="S137" s="170"/>
      <c r="T137" s="170"/>
      <c r="U137" s="170"/>
    </row>
    <row r="138" spans="1:21" s="3" customFormat="1" ht="26.1" customHeight="1" x14ac:dyDescent="0.25">
      <c r="A138" s="31"/>
      <c r="B138" s="34" t="s">
        <v>41</v>
      </c>
      <c r="C138" s="33" t="s">
        <v>284</v>
      </c>
      <c r="D138" s="14" t="s">
        <v>14</v>
      </c>
      <c r="E138" s="15">
        <f>8.3*0.5*0.5</f>
        <v>2.0750000000000002</v>
      </c>
      <c r="F138" s="16">
        <v>266100</v>
      </c>
      <c r="G138" s="17">
        <v>1</v>
      </c>
      <c r="H138" s="18">
        <f t="shared" ref="H138:H141" si="20">ROUND(E138*F138*G138,-3)</f>
        <v>552000</v>
      </c>
      <c r="I138" s="227">
        <f t="shared" si="18"/>
        <v>552000</v>
      </c>
      <c r="J138" s="174"/>
      <c r="K138" s="153"/>
      <c r="L138" s="153"/>
      <c r="M138" s="153"/>
      <c r="N138" s="153"/>
      <c r="O138" s="153"/>
      <c r="P138" s="153"/>
      <c r="Q138" s="181"/>
      <c r="R138" s="181"/>
      <c r="S138" s="160"/>
      <c r="T138" s="160"/>
      <c r="U138" s="160"/>
    </row>
    <row r="139" spans="1:21" s="3" customFormat="1" ht="26.1" customHeight="1" x14ac:dyDescent="0.25">
      <c r="A139" s="31"/>
      <c r="B139" s="34" t="s">
        <v>42</v>
      </c>
      <c r="C139" s="33" t="s">
        <v>274</v>
      </c>
      <c r="D139" s="14" t="s">
        <v>14</v>
      </c>
      <c r="E139" s="15">
        <f>E138/3</f>
        <v>0.69166666666666676</v>
      </c>
      <c r="F139" s="16">
        <v>185275</v>
      </c>
      <c r="G139" s="17">
        <v>1</v>
      </c>
      <c r="H139" s="18">
        <f t="shared" si="20"/>
        <v>128000</v>
      </c>
      <c r="I139" s="227">
        <f t="shared" si="18"/>
        <v>128000</v>
      </c>
      <c r="J139" s="174"/>
      <c r="K139" s="153"/>
      <c r="L139" s="153"/>
      <c r="M139" s="153"/>
      <c r="N139" s="153"/>
      <c r="O139" s="153"/>
      <c r="P139" s="153"/>
      <c r="Q139" s="181"/>
      <c r="R139" s="181"/>
      <c r="S139" s="160"/>
      <c r="T139" s="160"/>
      <c r="U139" s="160"/>
    </row>
    <row r="140" spans="1:21" s="3" customFormat="1" ht="26.1" customHeight="1" x14ac:dyDescent="0.25">
      <c r="A140" s="31"/>
      <c r="B140" s="34" t="s">
        <v>43</v>
      </c>
      <c r="C140" s="33" t="s">
        <v>285</v>
      </c>
      <c r="D140" s="14" t="s">
        <v>14</v>
      </c>
      <c r="E140" s="15">
        <f>8.3*0.33*0.5</f>
        <v>1.3695000000000002</v>
      </c>
      <c r="F140" s="16">
        <v>1869307</v>
      </c>
      <c r="G140" s="17">
        <v>1</v>
      </c>
      <c r="H140" s="18">
        <f t="shared" si="20"/>
        <v>2560000</v>
      </c>
      <c r="I140" s="227">
        <f t="shared" si="18"/>
        <v>2560000</v>
      </c>
      <c r="J140" s="174"/>
      <c r="K140" s="153"/>
      <c r="L140" s="153"/>
      <c r="M140" s="153"/>
      <c r="N140" s="153"/>
      <c r="O140" s="153"/>
      <c r="P140" s="153"/>
      <c r="Q140" s="181"/>
      <c r="R140" s="181"/>
      <c r="S140" s="160"/>
      <c r="T140" s="160"/>
      <c r="U140" s="160"/>
    </row>
    <row r="141" spans="1:21" s="3" customFormat="1" ht="34.9" customHeight="1" x14ac:dyDescent="0.25">
      <c r="A141" s="31"/>
      <c r="B141" s="34" t="s">
        <v>73</v>
      </c>
      <c r="C141" s="33" t="s">
        <v>292</v>
      </c>
      <c r="D141" s="14" t="s">
        <v>14</v>
      </c>
      <c r="E141" s="15">
        <f>8.3*0.22*1.5</f>
        <v>2.7389999999999999</v>
      </c>
      <c r="F141" s="16">
        <v>2016276</v>
      </c>
      <c r="G141" s="17">
        <v>1</v>
      </c>
      <c r="H141" s="18">
        <f t="shared" si="20"/>
        <v>5523000</v>
      </c>
      <c r="I141" s="227">
        <f t="shared" si="18"/>
        <v>5523000</v>
      </c>
      <c r="J141" s="174"/>
      <c r="K141" s="153"/>
      <c r="L141" s="153"/>
      <c r="M141" s="153"/>
      <c r="N141" s="153"/>
      <c r="O141" s="153"/>
      <c r="P141" s="153"/>
      <c r="Q141" s="181"/>
      <c r="R141" s="181"/>
      <c r="S141" s="160"/>
      <c r="T141" s="160"/>
      <c r="U141" s="160"/>
    </row>
    <row r="142" spans="1:21" s="6" customFormat="1" ht="52.9" customHeight="1" x14ac:dyDescent="0.25">
      <c r="A142" s="69">
        <v>6</v>
      </c>
      <c r="B142" s="434" t="s">
        <v>266</v>
      </c>
      <c r="C142" s="434"/>
      <c r="D142" s="434"/>
      <c r="E142" s="434"/>
      <c r="F142" s="434"/>
      <c r="G142" s="110"/>
      <c r="H142" s="29">
        <f>SUM(H143:H152)</f>
        <v>27135000</v>
      </c>
      <c r="I142" s="227">
        <f t="shared" si="18"/>
        <v>0</v>
      </c>
      <c r="J142" s="202"/>
      <c r="K142" s="202"/>
      <c r="L142" s="202"/>
      <c r="M142" s="202"/>
      <c r="N142" s="202"/>
      <c r="O142" s="203"/>
      <c r="P142" s="204"/>
      <c r="Q142" s="163"/>
      <c r="R142" s="163"/>
      <c r="S142" s="164"/>
      <c r="T142" s="164"/>
      <c r="U142" s="164"/>
    </row>
    <row r="143" spans="1:21" s="3" customFormat="1" ht="25.9" customHeight="1" x14ac:dyDescent="0.25">
      <c r="A143" s="12"/>
      <c r="B143" s="68" t="s">
        <v>144</v>
      </c>
      <c r="C143" s="33" t="s">
        <v>366</v>
      </c>
      <c r="D143" s="14" t="s">
        <v>13</v>
      </c>
      <c r="E143" s="15">
        <f>1.5*4.1</f>
        <v>6.1499999999999995</v>
      </c>
      <c r="F143" s="16">
        <v>2033079</v>
      </c>
      <c r="G143" s="17">
        <v>1</v>
      </c>
      <c r="H143" s="18">
        <f t="shared" ref="H143:H152" si="21">ROUND(E143*F143*G143,-3)</f>
        <v>12503000</v>
      </c>
      <c r="I143" s="227">
        <f t="shared" si="18"/>
        <v>12503000</v>
      </c>
      <c r="J143" s="174"/>
      <c r="K143" s="153"/>
      <c r="L143" s="153"/>
      <c r="M143" s="153"/>
      <c r="N143" s="153"/>
      <c r="O143" s="153"/>
      <c r="P143" s="153"/>
      <c r="Q143" s="181"/>
      <c r="R143" s="181"/>
      <c r="S143" s="160"/>
      <c r="T143" s="160"/>
      <c r="U143" s="160"/>
    </row>
    <row r="144" spans="1:21" s="3" customFormat="1" ht="31.15" customHeight="1" x14ac:dyDescent="0.25">
      <c r="A144" s="12"/>
      <c r="B144" s="68" t="s">
        <v>267</v>
      </c>
      <c r="C144" s="23" t="s">
        <v>316</v>
      </c>
      <c r="D144" s="14" t="s">
        <v>13</v>
      </c>
      <c r="E144" s="15">
        <f>3.9*1.3</f>
        <v>5.07</v>
      </c>
      <c r="F144" s="16">
        <v>391177</v>
      </c>
      <c r="G144" s="17">
        <v>1</v>
      </c>
      <c r="H144" s="18">
        <f t="shared" si="21"/>
        <v>1983000</v>
      </c>
      <c r="I144" s="227">
        <f t="shared" si="18"/>
        <v>1983000</v>
      </c>
      <c r="J144" s="174"/>
      <c r="K144" s="153"/>
      <c r="L144" s="180"/>
      <c r="M144" s="153"/>
      <c r="N144" s="153"/>
      <c r="O144" s="153"/>
      <c r="P144" s="153"/>
      <c r="Q144" s="153"/>
      <c r="R144" s="153"/>
      <c r="S144" s="160"/>
      <c r="T144" s="160"/>
      <c r="U144" s="160"/>
    </row>
    <row r="145" spans="1:21" s="3" customFormat="1" ht="31.15" customHeight="1" x14ac:dyDescent="0.25">
      <c r="A145" s="12"/>
      <c r="B145" s="68" t="s">
        <v>222</v>
      </c>
      <c r="C145" s="23" t="s">
        <v>349</v>
      </c>
      <c r="D145" s="14" t="s">
        <v>13</v>
      </c>
      <c r="E145" s="15">
        <f>((3.9+1.3)*2-1)*0.2</f>
        <v>1.8800000000000001</v>
      </c>
      <c r="F145" s="16">
        <v>478888</v>
      </c>
      <c r="G145" s="17">
        <v>1</v>
      </c>
      <c r="H145" s="18">
        <f t="shared" si="21"/>
        <v>900000</v>
      </c>
      <c r="I145" s="227">
        <f t="shared" si="18"/>
        <v>900000</v>
      </c>
      <c r="J145" s="174"/>
      <c r="K145" s="153"/>
      <c r="L145" s="180"/>
      <c r="M145" s="153"/>
      <c r="N145" s="153"/>
      <c r="O145" s="153"/>
      <c r="P145" s="153"/>
      <c r="Q145" s="153"/>
      <c r="R145" s="153"/>
      <c r="S145" s="160"/>
      <c r="T145" s="160"/>
      <c r="U145" s="160"/>
    </row>
    <row r="146" spans="1:21" s="3" customFormat="1" ht="31.15" customHeight="1" x14ac:dyDescent="0.25">
      <c r="A146" s="12"/>
      <c r="B146" s="68" t="s">
        <v>223</v>
      </c>
      <c r="C146" s="23" t="s">
        <v>367</v>
      </c>
      <c r="D146" s="14" t="s">
        <v>13</v>
      </c>
      <c r="E146" s="15">
        <f>((3.9+1.3)*2*2.7)-((1*2.1)+(0.9*1.3))</f>
        <v>24.810000000000002</v>
      </c>
      <c r="F146" s="16">
        <v>176131</v>
      </c>
      <c r="G146" s="17">
        <v>1</v>
      </c>
      <c r="H146" s="18">
        <f t="shared" si="21"/>
        <v>4370000</v>
      </c>
      <c r="I146" s="227">
        <f t="shared" si="18"/>
        <v>4370000</v>
      </c>
      <c r="J146" s="174"/>
      <c r="K146" s="153"/>
      <c r="L146" s="153"/>
      <c r="M146" s="153"/>
      <c r="N146" s="153"/>
      <c r="O146" s="153"/>
      <c r="P146" s="153"/>
      <c r="Q146" s="153"/>
      <c r="R146" s="153"/>
      <c r="S146" s="160"/>
      <c r="T146" s="160"/>
      <c r="U146" s="160"/>
    </row>
    <row r="147" spans="1:21" s="3" customFormat="1" ht="31.15" customHeight="1" x14ac:dyDescent="0.25">
      <c r="A147" s="12"/>
      <c r="B147" s="68" t="s">
        <v>268</v>
      </c>
      <c r="C147" s="23" t="s">
        <v>368</v>
      </c>
      <c r="D147" s="14" t="s">
        <v>13</v>
      </c>
      <c r="E147" s="15">
        <f>3.9*1.3</f>
        <v>5.07</v>
      </c>
      <c r="F147" s="16">
        <v>192091</v>
      </c>
      <c r="G147" s="17">
        <v>1</v>
      </c>
      <c r="H147" s="18">
        <f t="shared" si="21"/>
        <v>974000</v>
      </c>
      <c r="I147" s="227">
        <f t="shared" si="18"/>
        <v>974000</v>
      </c>
      <c r="J147" s="174"/>
      <c r="K147" s="153"/>
      <c r="L147" s="153"/>
      <c r="M147" s="153"/>
      <c r="N147" s="153"/>
      <c r="O147" s="153"/>
      <c r="P147" s="153"/>
      <c r="Q147" s="153"/>
      <c r="R147" s="153"/>
      <c r="S147" s="160"/>
      <c r="T147" s="160"/>
      <c r="U147" s="160"/>
    </row>
    <row r="148" spans="1:21" s="3" customFormat="1" ht="31.15" customHeight="1" x14ac:dyDescent="0.25">
      <c r="A148" s="12"/>
      <c r="B148" s="68" t="s">
        <v>224</v>
      </c>
      <c r="C148" s="23" t="s">
        <v>110</v>
      </c>
      <c r="D148" s="14" t="s">
        <v>13</v>
      </c>
      <c r="E148" s="15">
        <f>1*2.1</f>
        <v>2.1</v>
      </c>
      <c r="F148" s="16">
        <v>1050000</v>
      </c>
      <c r="G148" s="17">
        <v>1</v>
      </c>
      <c r="H148" s="18">
        <f t="shared" si="21"/>
        <v>2205000</v>
      </c>
      <c r="I148" s="227">
        <f t="shared" si="18"/>
        <v>2205000</v>
      </c>
      <c r="J148" s="174"/>
      <c r="K148" s="153"/>
      <c r="L148" s="153"/>
      <c r="M148" s="153"/>
      <c r="N148" s="153"/>
      <c r="O148" s="153"/>
      <c r="P148" s="153"/>
      <c r="Q148" s="153"/>
      <c r="R148" s="153"/>
      <c r="S148" s="160"/>
      <c r="T148" s="160"/>
      <c r="U148" s="160"/>
    </row>
    <row r="149" spans="1:21" s="3" customFormat="1" ht="31.15" customHeight="1" x14ac:dyDescent="0.25">
      <c r="A149" s="12"/>
      <c r="B149" s="68" t="s">
        <v>225</v>
      </c>
      <c r="C149" s="23" t="s">
        <v>110</v>
      </c>
      <c r="D149" s="14" t="s">
        <v>13</v>
      </c>
      <c r="E149" s="15">
        <f>0.9*1.3</f>
        <v>1.1700000000000002</v>
      </c>
      <c r="F149" s="16">
        <v>900000</v>
      </c>
      <c r="G149" s="17">
        <v>1</v>
      </c>
      <c r="H149" s="18">
        <f t="shared" si="21"/>
        <v>1053000</v>
      </c>
      <c r="I149" s="227">
        <f t="shared" si="18"/>
        <v>1053000</v>
      </c>
      <c r="J149" s="174"/>
      <c r="K149" s="153"/>
      <c r="L149" s="153"/>
      <c r="M149" s="153"/>
      <c r="N149" s="153"/>
      <c r="O149" s="153"/>
      <c r="P149" s="153"/>
      <c r="Q149" s="153"/>
      <c r="R149" s="153"/>
      <c r="S149" s="160"/>
      <c r="T149" s="160"/>
      <c r="U149" s="160"/>
    </row>
    <row r="150" spans="1:21" s="3" customFormat="1" ht="31.15" customHeight="1" x14ac:dyDescent="0.25">
      <c r="A150" s="12"/>
      <c r="B150" s="13" t="s">
        <v>226</v>
      </c>
      <c r="C150" s="112" t="s">
        <v>395</v>
      </c>
      <c r="D150" s="14" t="s">
        <v>13</v>
      </c>
      <c r="E150" s="15">
        <f>0.9*1.3</f>
        <v>1.1700000000000002</v>
      </c>
      <c r="F150" s="16">
        <v>1124884</v>
      </c>
      <c r="G150" s="17">
        <v>1</v>
      </c>
      <c r="H150" s="18">
        <f t="shared" si="21"/>
        <v>1316000</v>
      </c>
      <c r="I150" s="227">
        <f t="shared" si="18"/>
        <v>1316000</v>
      </c>
      <c r="J150" s="174"/>
      <c r="K150" s="153"/>
      <c r="L150" s="153"/>
      <c r="M150" s="153"/>
      <c r="N150" s="153"/>
      <c r="O150" s="153"/>
      <c r="P150" s="153"/>
      <c r="Q150" s="153"/>
      <c r="R150" s="153"/>
      <c r="S150" s="160"/>
      <c r="T150" s="160"/>
      <c r="U150" s="160"/>
    </row>
    <row r="151" spans="1:21" s="3" customFormat="1" ht="25.9" customHeight="1" x14ac:dyDescent="0.25">
      <c r="A151" s="12"/>
      <c r="B151" s="68" t="s">
        <v>167</v>
      </c>
      <c r="C151" s="23" t="s">
        <v>353</v>
      </c>
      <c r="D151" s="14" t="s">
        <v>168</v>
      </c>
      <c r="E151" s="15">
        <v>1</v>
      </c>
      <c r="F151" s="16">
        <f>217075+569762</f>
        <v>786837</v>
      </c>
      <c r="G151" s="17">
        <v>1</v>
      </c>
      <c r="H151" s="18">
        <f t="shared" si="21"/>
        <v>787000</v>
      </c>
      <c r="I151" s="227">
        <f t="shared" si="18"/>
        <v>787000</v>
      </c>
      <c r="J151" s="174"/>
      <c r="K151" s="153"/>
      <c r="L151" s="153"/>
      <c r="M151" s="153"/>
      <c r="N151" s="153"/>
      <c r="O151" s="153"/>
      <c r="P151" s="153"/>
      <c r="Q151" s="153"/>
      <c r="R151" s="153"/>
      <c r="S151" s="160"/>
      <c r="T151" s="160"/>
      <c r="U151" s="160"/>
    </row>
    <row r="152" spans="1:21" s="3" customFormat="1" ht="36.6" customHeight="1" x14ac:dyDescent="0.25">
      <c r="A152" s="31"/>
      <c r="B152" s="34" t="s">
        <v>235</v>
      </c>
      <c r="C152" s="33"/>
      <c r="D152" s="14" t="s">
        <v>233</v>
      </c>
      <c r="E152" s="15">
        <v>1</v>
      </c>
      <c r="F152" s="16">
        <f>SUM(H143:H151)</f>
        <v>26091000</v>
      </c>
      <c r="G152" s="113">
        <v>0.04</v>
      </c>
      <c r="H152" s="18">
        <f t="shared" si="21"/>
        <v>1044000</v>
      </c>
      <c r="I152" s="227">
        <f t="shared" si="18"/>
        <v>1044000</v>
      </c>
      <c r="J152" s="174"/>
      <c r="K152" s="153"/>
      <c r="L152" s="153"/>
      <c r="M152" s="153"/>
      <c r="N152" s="153"/>
      <c r="O152" s="153"/>
      <c r="P152" s="153"/>
      <c r="Q152" s="181"/>
      <c r="R152" s="181"/>
      <c r="S152" s="160"/>
      <c r="T152" s="160"/>
      <c r="U152" s="160"/>
    </row>
    <row r="153" spans="1:21" s="6" customFormat="1" ht="34.9" customHeight="1" x14ac:dyDescent="0.25">
      <c r="A153" s="69">
        <v>7</v>
      </c>
      <c r="B153" s="434" t="s">
        <v>227</v>
      </c>
      <c r="C153" s="434"/>
      <c r="D153" s="434"/>
      <c r="E153" s="434"/>
      <c r="F153" s="434"/>
      <c r="G153" s="110"/>
      <c r="H153" s="29">
        <f>SUM(H154:H155)</f>
        <v>5511000</v>
      </c>
      <c r="I153" s="227">
        <f t="shared" si="18"/>
        <v>0</v>
      </c>
      <c r="J153" s="202"/>
      <c r="K153" s="202"/>
      <c r="L153" s="202"/>
      <c r="M153" s="202"/>
      <c r="N153" s="202"/>
      <c r="O153" s="203"/>
      <c r="P153" s="204"/>
      <c r="Q153" s="163"/>
      <c r="R153" s="163"/>
      <c r="S153" s="164"/>
      <c r="T153" s="164"/>
      <c r="U153" s="164"/>
    </row>
    <row r="154" spans="1:21" s="3" customFormat="1" ht="36.6" customHeight="1" x14ac:dyDescent="0.25">
      <c r="A154" s="31"/>
      <c r="B154" s="34" t="s">
        <v>269</v>
      </c>
      <c r="C154" s="33" t="s">
        <v>360</v>
      </c>
      <c r="D154" s="14" t="s">
        <v>13</v>
      </c>
      <c r="E154" s="15">
        <f>3.5*1.8</f>
        <v>6.3</v>
      </c>
      <c r="F154" s="16">
        <v>515771</v>
      </c>
      <c r="G154" s="17">
        <v>1</v>
      </c>
      <c r="H154" s="18">
        <f t="shared" ref="H154:H155" si="22">ROUND(E154*F154*G154,-3)</f>
        <v>3249000</v>
      </c>
      <c r="I154" s="227">
        <f t="shared" si="18"/>
        <v>3249000</v>
      </c>
      <c r="J154" s="174"/>
      <c r="K154" s="153"/>
      <c r="L154" s="153"/>
      <c r="M154" s="153"/>
      <c r="N154" s="153"/>
      <c r="O154" s="153"/>
      <c r="P154" s="153"/>
      <c r="Q154" s="181"/>
      <c r="R154" s="181"/>
      <c r="S154" s="160"/>
      <c r="T154" s="160"/>
      <c r="U154" s="160"/>
    </row>
    <row r="155" spans="1:21" s="3" customFormat="1" ht="38.450000000000003" customHeight="1" x14ac:dyDescent="0.25">
      <c r="A155" s="31"/>
      <c r="B155" s="34" t="s">
        <v>270</v>
      </c>
      <c r="C155" s="33" t="s">
        <v>362</v>
      </c>
      <c r="D155" s="14" t="s">
        <v>13</v>
      </c>
      <c r="E155" s="15">
        <f>3.5*1.8</f>
        <v>6.3</v>
      </c>
      <c r="F155" s="16">
        <v>359110</v>
      </c>
      <c r="G155" s="17">
        <v>1</v>
      </c>
      <c r="H155" s="18">
        <f t="shared" si="22"/>
        <v>2262000</v>
      </c>
      <c r="I155" s="227">
        <f t="shared" si="18"/>
        <v>2262000</v>
      </c>
      <c r="J155" s="174"/>
      <c r="K155" s="153"/>
      <c r="L155" s="153"/>
      <c r="M155" s="153"/>
      <c r="N155" s="153"/>
      <c r="O155" s="153"/>
      <c r="P155" s="153"/>
      <c r="Q155" s="181"/>
      <c r="R155" s="181"/>
      <c r="S155" s="160"/>
      <c r="T155" s="160"/>
      <c r="U155" s="160"/>
    </row>
    <row r="156" spans="1:21" s="6" customFormat="1" ht="34.9" customHeight="1" x14ac:dyDescent="0.25">
      <c r="A156" s="69">
        <v>8</v>
      </c>
      <c r="B156" s="434" t="s">
        <v>228</v>
      </c>
      <c r="C156" s="434"/>
      <c r="D156" s="434"/>
      <c r="E156" s="434"/>
      <c r="F156" s="434"/>
      <c r="G156" s="110"/>
      <c r="H156" s="29">
        <f>SUM(H157:H158)</f>
        <v>7683000</v>
      </c>
      <c r="I156" s="227">
        <f t="shared" si="18"/>
        <v>0</v>
      </c>
      <c r="J156" s="202"/>
      <c r="K156" s="202"/>
      <c r="L156" s="202"/>
      <c r="M156" s="202"/>
      <c r="N156" s="202"/>
      <c r="O156" s="203"/>
      <c r="P156" s="204"/>
      <c r="Q156" s="163"/>
      <c r="R156" s="163"/>
      <c r="S156" s="164"/>
      <c r="T156" s="164"/>
      <c r="U156" s="164"/>
    </row>
    <row r="157" spans="1:21" s="3" customFormat="1" ht="25.9" customHeight="1" x14ac:dyDescent="0.25">
      <c r="A157" s="12"/>
      <c r="B157" s="68" t="s">
        <v>271</v>
      </c>
      <c r="C157" s="33" t="s">
        <v>298</v>
      </c>
      <c r="D157" s="14" t="s">
        <v>13</v>
      </c>
      <c r="E157" s="15">
        <f>8.7*2.5</f>
        <v>21.75</v>
      </c>
      <c r="F157" s="16">
        <v>315499</v>
      </c>
      <c r="G157" s="17">
        <v>1</v>
      </c>
      <c r="H157" s="18">
        <f t="shared" ref="H157:H159" si="23">ROUND(E157*F157*G157,-3)</f>
        <v>6862000</v>
      </c>
      <c r="I157" s="227">
        <f t="shared" si="18"/>
        <v>6862000</v>
      </c>
      <c r="J157" s="174"/>
      <c r="K157" s="153"/>
      <c r="L157" s="153"/>
      <c r="M157" s="153"/>
      <c r="N157" s="153"/>
      <c r="O157" s="153"/>
      <c r="P157" s="153"/>
      <c r="Q157" s="181"/>
      <c r="R157" s="181"/>
      <c r="S157" s="160"/>
      <c r="T157" s="160"/>
      <c r="U157" s="160"/>
    </row>
    <row r="158" spans="1:21" s="6" customFormat="1" ht="28.15" customHeight="1" x14ac:dyDescent="0.25">
      <c r="A158" s="40"/>
      <c r="B158" s="35" t="s">
        <v>199</v>
      </c>
      <c r="C158" s="41" t="s">
        <v>358</v>
      </c>
      <c r="D158" s="14" t="s">
        <v>200</v>
      </c>
      <c r="E158" s="42">
        <v>1</v>
      </c>
      <c r="F158" s="16">
        <v>820542</v>
      </c>
      <c r="G158" s="243">
        <v>1</v>
      </c>
      <c r="H158" s="43">
        <f t="shared" si="23"/>
        <v>821000</v>
      </c>
      <c r="I158" s="227">
        <f t="shared" si="18"/>
        <v>821000</v>
      </c>
      <c r="J158" s="202"/>
      <c r="K158" s="202"/>
      <c r="L158" s="202"/>
      <c r="M158" s="202"/>
      <c r="N158" s="202"/>
      <c r="O158" s="203"/>
      <c r="P158" s="204"/>
      <c r="Q158" s="158"/>
      <c r="R158" s="158"/>
      <c r="S158" s="164"/>
      <c r="T158" s="164"/>
      <c r="U158" s="164"/>
    </row>
    <row r="159" spans="1:21" s="3" customFormat="1" ht="47.25" x14ac:dyDescent="0.25">
      <c r="A159" s="81" t="s">
        <v>236</v>
      </c>
      <c r="B159" s="98" t="s">
        <v>369</v>
      </c>
      <c r="C159" s="117"/>
      <c r="D159" s="40" t="s">
        <v>237</v>
      </c>
      <c r="E159" s="118">
        <v>1</v>
      </c>
      <c r="F159" s="119">
        <v>15000000</v>
      </c>
      <c r="G159" s="150">
        <v>1</v>
      </c>
      <c r="H159" s="82">
        <f t="shared" si="23"/>
        <v>15000000</v>
      </c>
      <c r="I159" s="227">
        <f t="shared" si="18"/>
        <v>15000000</v>
      </c>
      <c r="J159" s="174"/>
      <c r="K159" s="153"/>
      <c r="L159" s="153"/>
      <c r="M159" s="153"/>
      <c r="N159" s="153"/>
      <c r="O159" s="153"/>
      <c r="P159" s="153"/>
      <c r="Q159" s="181">
        <f>H159</f>
        <v>15000000</v>
      </c>
      <c r="R159" s="181"/>
      <c r="S159" s="160"/>
      <c r="T159" s="160"/>
      <c r="U159" s="160"/>
    </row>
    <row r="160" spans="1:21" s="3" customFormat="1" ht="47.25" x14ac:dyDescent="0.25">
      <c r="A160" s="81" t="s">
        <v>238</v>
      </c>
      <c r="B160" s="98" t="s">
        <v>370</v>
      </c>
      <c r="C160" s="117"/>
      <c r="D160" s="40" t="s">
        <v>237</v>
      </c>
      <c r="E160" s="118">
        <v>1</v>
      </c>
      <c r="F160" s="119">
        <f>6000000*9</f>
        <v>54000000</v>
      </c>
      <c r="G160" s="150">
        <v>1</v>
      </c>
      <c r="H160" s="82">
        <f>ROUND(E160*F160*G160,-3)</f>
        <v>54000000</v>
      </c>
      <c r="I160" s="227">
        <f t="shared" si="18"/>
        <v>54000000</v>
      </c>
      <c r="J160" s="174"/>
      <c r="K160" s="153"/>
      <c r="L160" s="153"/>
      <c r="M160" s="153"/>
      <c r="N160" s="153"/>
      <c r="O160" s="153"/>
      <c r="P160" s="153"/>
      <c r="Q160" s="181">
        <f>H160</f>
        <v>54000000</v>
      </c>
      <c r="R160" s="181"/>
      <c r="S160" s="160"/>
      <c r="T160" s="160"/>
      <c r="U160" s="160"/>
    </row>
    <row r="161" spans="1:21" s="3" customFormat="1" ht="47.25" x14ac:dyDescent="0.25">
      <c r="A161" s="81" t="s">
        <v>397</v>
      </c>
      <c r="B161" s="148" t="s">
        <v>400</v>
      </c>
      <c r="C161" s="149"/>
      <c r="D161" s="40" t="s">
        <v>237</v>
      </c>
      <c r="E161" s="118">
        <v>1</v>
      </c>
      <c r="F161" s="126">
        <v>30000000</v>
      </c>
      <c r="G161" s="150">
        <v>1</v>
      </c>
      <c r="H161" s="82">
        <f>F161</f>
        <v>30000000</v>
      </c>
      <c r="I161" s="227">
        <f t="shared" si="18"/>
        <v>30000000</v>
      </c>
      <c r="J161" s="174"/>
      <c r="K161" s="153"/>
      <c r="L161" s="153"/>
      <c r="M161" s="153"/>
      <c r="N161" s="153"/>
      <c r="O161" s="153"/>
      <c r="P161" s="153"/>
      <c r="Q161" s="181"/>
      <c r="R161" s="181"/>
      <c r="S161" s="153">
        <f>H161</f>
        <v>30000000</v>
      </c>
      <c r="T161" s="160"/>
      <c r="U161" s="160"/>
    </row>
    <row r="162" spans="1:21" s="4" customFormat="1" ht="37.15" customHeight="1" x14ac:dyDescent="0.25">
      <c r="A162" s="81" t="s">
        <v>62</v>
      </c>
      <c r="B162" s="440" t="s">
        <v>22</v>
      </c>
      <c r="C162" s="440"/>
      <c r="D162" s="440"/>
      <c r="E162" s="440"/>
      <c r="F162" s="440"/>
      <c r="G162" s="440"/>
      <c r="H162" s="82">
        <f>H169+H172+H163+H227+H228</f>
        <v>206861000</v>
      </c>
      <c r="I162" s="227">
        <f t="shared" si="18"/>
        <v>0</v>
      </c>
      <c r="J162" s="174">
        <f>H162-I162</f>
        <v>206861000</v>
      </c>
      <c r="K162" s="153"/>
      <c r="L162" s="153"/>
      <c r="M162" s="153"/>
      <c r="N162" s="153"/>
      <c r="O162" s="153"/>
      <c r="P162" s="153"/>
      <c r="Q162" s="188"/>
      <c r="R162" s="188"/>
      <c r="S162" s="155"/>
      <c r="T162" s="155"/>
      <c r="U162" s="155"/>
    </row>
    <row r="163" spans="1:21" s="9" customFormat="1" ht="76.5" customHeight="1" x14ac:dyDescent="0.25">
      <c r="A163" s="83" t="s">
        <v>11</v>
      </c>
      <c r="B163" s="429" t="s">
        <v>405</v>
      </c>
      <c r="C163" s="430"/>
      <c r="D163" s="430"/>
      <c r="E163" s="430"/>
      <c r="F163" s="431"/>
      <c r="G163" s="246"/>
      <c r="H163" s="84">
        <f>SUM(H164:H168)</f>
        <v>133065000</v>
      </c>
      <c r="I163" s="227">
        <f t="shared" si="18"/>
        <v>0</v>
      </c>
      <c r="J163" s="189"/>
      <c r="K163" s="175"/>
      <c r="L163" s="175"/>
      <c r="M163" s="175"/>
      <c r="N163" s="175"/>
      <c r="O163" s="175"/>
      <c r="P163" s="190"/>
      <c r="Q163" s="156"/>
      <c r="R163" s="156"/>
      <c r="S163" s="157"/>
      <c r="T163" s="157"/>
      <c r="U163" s="157"/>
    </row>
    <row r="164" spans="1:21" s="8" customFormat="1" ht="31.9" customHeight="1" x14ac:dyDescent="0.25">
      <c r="A164" s="85"/>
      <c r="B164" s="86" t="s">
        <v>241</v>
      </c>
      <c r="C164" s="87" t="s">
        <v>242</v>
      </c>
      <c r="D164" s="85" t="s">
        <v>13</v>
      </c>
      <c r="E164" s="88">
        <v>15.3</v>
      </c>
      <c r="F164" s="89">
        <v>3000000</v>
      </c>
      <c r="G164" s="247">
        <v>0.8</v>
      </c>
      <c r="H164" s="91">
        <f>ROUND(E164*F164*G164,-3)</f>
        <v>36720000</v>
      </c>
      <c r="I164" s="227">
        <f t="shared" si="18"/>
        <v>36720000</v>
      </c>
      <c r="J164" s="191"/>
      <c r="K164" s="192">
        <f>H164</f>
        <v>36720000</v>
      </c>
      <c r="L164" s="192"/>
      <c r="M164" s="192"/>
      <c r="N164" s="192"/>
      <c r="O164" s="192"/>
      <c r="P164" s="193"/>
      <c r="Q164" s="158"/>
      <c r="R164" s="158"/>
      <c r="S164" s="159"/>
      <c r="T164" s="159"/>
      <c r="U164" s="159"/>
    </row>
    <row r="165" spans="1:21" s="8" customFormat="1" ht="26.1" customHeight="1" x14ac:dyDescent="0.25">
      <c r="A165" s="85"/>
      <c r="B165" s="86" t="s">
        <v>59</v>
      </c>
      <c r="C165" s="87" t="s">
        <v>60</v>
      </c>
      <c r="D165" s="85" t="s">
        <v>13</v>
      </c>
      <c r="E165" s="92">
        <v>53.5</v>
      </c>
      <c r="F165" s="89">
        <v>85000</v>
      </c>
      <c r="G165" s="247">
        <v>1.5</v>
      </c>
      <c r="H165" s="91">
        <f>ROUND(E165*F165*G165,-3)</f>
        <v>6821000</v>
      </c>
      <c r="I165" s="227">
        <f t="shared" si="18"/>
        <v>6821000</v>
      </c>
      <c r="J165" s="191"/>
      <c r="K165" s="192">
        <f>H165</f>
        <v>6821000</v>
      </c>
      <c r="L165" s="192"/>
      <c r="M165" s="192"/>
      <c r="N165" s="192"/>
      <c r="O165" s="192"/>
      <c r="P165" s="193"/>
      <c r="Q165" s="158"/>
      <c r="R165" s="158"/>
      <c r="S165" s="159"/>
      <c r="T165" s="159"/>
      <c r="U165" s="159"/>
    </row>
    <row r="166" spans="1:21" s="8" customFormat="1" ht="40.5" customHeight="1" x14ac:dyDescent="0.25">
      <c r="A166" s="85"/>
      <c r="B166" s="86" t="s">
        <v>58</v>
      </c>
      <c r="C166" s="87"/>
      <c r="D166" s="85" t="s">
        <v>13</v>
      </c>
      <c r="E166" s="92">
        <v>53.5</v>
      </c>
      <c r="F166" s="89">
        <f>F165*3</f>
        <v>255000</v>
      </c>
      <c r="G166" s="247">
        <v>1</v>
      </c>
      <c r="H166" s="91">
        <f>ROUND(E166*F166*G166,-3)</f>
        <v>13643000</v>
      </c>
      <c r="I166" s="227">
        <f t="shared" si="18"/>
        <v>13643000</v>
      </c>
      <c r="J166" s="194"/>
      <c r="K166" s="195"/>
      <c r="L166" s="196">
        <f>H166</f>
        <v>13643000</v>
      </c>
      <c r="M166" s="196"/>
      <c r="N166" s="196"/>
      <c r="O166" s="196"/>
      <c r="P166" s="193"/>
      <c r="Q166" s="158"/>
      <c r="R166" s="158"/>
      <c r="S166" s="159"/>
      <c r="T166" s="159"/>
      <c r="U166" s="159"/>
    </row>
    <row r="167" spans="1:21" s="8" customFormat="1" ht="30.75" customHeight="1" x14ac:dyDescent="0.25">
      <c r="A167" s="85"/>
      <c r="B167" s="93" t="s">
        <v>392</v>
      </c>
      <c r="C167" s="94"/>
      <c r="D167" s="95" t="s">
        <v>13</v>
      </c>
      <c r="E167" s="96">
        <v>53.5</v>
      </c>
      <c r="F167" s="16">
        <f>2400000-85000*1.5-85000*3-0.3*(2400000-85000)</f>
        <v>1323000</v>
      </c>
      <c r="G167" s="106">
        <v>1</v>
      </c>
      <c r="H167" s="18">
        <f t="shared" ref="H167" si="24">ROUND(E167*F167*G167,-3)</f>
        <v>70781000</v>
      </c>
      <c r="I167" s="227">
        <f t="shared" si="18"/>
        <v>70781000</v>
      </c>
      <c r="J167" s="197"/>
      <c r="K167" s="198"/>
      <c r="L167" s="198"/>
      <c r="M167" s="198">
        <f>H167</f>
        <v>70781000</v>
      </c>
      <c r="N167" s="198"/>
      <c r="O167" s="198"/>
      <c r="P167" s="199"/>
      <c r="Q167" s="158"/>
      <c r="R167" s="158"/>
      <c r="S167" s="159"/>
      <c r="T167" s="159"/>
      <c r="U167" s="159"/>
    </row>
    <row r="168" spans="1:21" s="239" customFormat="1" ht="30.75" customHeight="1" x14ac:dyDescent="0.25">
      <c r="A168" s="85"/>
      <c r="B168" s="234" t="s">
        <v>393</v>
      </c>
      <c r="C168" s="94"/>
      <c r="D168" s="95" t="s">
        <v>396</v>
      </c>
      <c r="E168" s="15">
        <v>5</v>
      </c>
      <c r="F168" s="16">
        <f>30*17000*2</f>
        <v>1020000</v>
      </c>
      <c r="G168" s="106">
        <v>1</v>
      </c>
      <c r="H168" s="18">
        <f>ROUND(E168*F168*G168,-3)</f>
        <v>5100000</v>
      </c>
      <c r="I168" s="227">
        <f t="shared" si="18"/>
        <v>5100000</v>
      </c>
      <c r="J168" s="235"/>
      <c r="K168" s="236"/>
      <c r="L168" s="236"/>
      <c r="M168" s="236"/>
      <c r="N168" s="236">
        <f>H168</f>
        <v>5100000</v>
      </c>
      <c r="O168" s="236"/>
      <c r="P168" s="237"/>
      <c r="Q168" s="172"/>
      <c r="R168" s="172"/>
      <c r="S168" s="238"/>
      <c r="T168" s="238"/>
      <c r="U168" s="238"/>
    </row>
    <row r="169" spans="1:21" s="3" customFormat="1" ht="39.6" customHeight="1" x14ac:dyDescent="0.25">
      <c r="A169" s="97" t="s">
        <v>12</v>
      </c>
      <c r="B169" s="432" t="s">
        <v>373</v>
      </c>
      <c r="C169" s="432"/>
      <c r="D169" s="432"/>
      <c r="E169" s="432"/>
      <c r="F169" s="432"/>
      <c r="G169" s="432"/>
      <c r="H169" s="82">
        <f>SUM(H170:H171)</f>
        <v>770000</v>
      </c>
      <c r="I169" s="227">
        <f t="shared" si="18"/>
        <v>0</v>
      </c>
      <c r="J169" s="174"/>
      <c r="K169" s="153"/>
      <c r="L169" s="153"/>
      <c r="M169" s="153"/>
      <c r="N169" s="153"/>
      <c r="O169" s="153">
        <f>H169</f>
        <v>770000</v>
      </c>
      <c r="P169" s="153"/>
      <c r="Q169" s="181"/>
      <c r="R169" s="181"/>
      <c r="S169" s="160"/>
      <c r="T169" s="160"/>
      <c r="U169" s="160"/>
    </row>
    <row r="170" spans="1:21" s="19" customFormat="1" ht="31.9" customHeight="1" x14ac:dyDescent="0.25">
      <c r="A170" s="31"/>
      <c r="B170" s="35" t="s">
        <v>320</v>
      </c>
      <c r="C170" s="36" t="s">
        <v>315</v>
      </c>
      <c r="D170" s="14" t="s">
        <v>16</v>
      </c>
      <c r="E170" s="37">
        <v>2</v>
      </c>
      <c r="F170" s="38">
        <v>240000</v>
      </c>
      <c r="G170" s="249">
        <v>1</v>
      </c>
      <c r="H170" s="39">
        <f>ROUND(E170*F170*G170,-3)</f>
        <v>480000</v>
      </c>
      <c r="I170" s="227">
        <f t="shared" si="18"/>
        <v>480000</v>
      </c>
      <c r="J170" s="200"/>
      <c r="K170" s="161"/>
      <c r="L170" s="161"/>
      <c r="M170" s="161"/>
      <c r="N170" s="161"/>
      <c r="O170" s="161"/>
      <c r="P170" s="161"/>
      <c r="Q170" s="201"/>
      <c r="R170" s="201"/>
      <c r="S170" s="162"/>
      <c r="T170" s="162"/>
      <c r="U170" s="162"/>
    </row>
    <row r="171" spans="1:21" s="3" customFormat="1" ht="30.6" customHeight="1" x14ac:dyDescent="0.25">
      <c r="A171" s="31"/>
      <c r="B171" s="35" t="s">
        <v>23</v>
      </c>
      <c r="C171" s="36" t="s">
        <v>291</v>
      </c>
      <c r="D171" s="14" t="s">
        <v>13</v>
      </c>
      <c r="E171" s="37">
        <v>20</v>
      </c>
      <c r="F171" s="38">
        <v>14500</v>
      </c>
      <c r="G171" s="249">
        <v>1</v>
      </c>
      <c r="H171" s="39">
        <f>ROUND(E171*F171*G171,-3)</f>
        <v>290000</v>
      </c>
      <c r="I171" s="227">
        <f t="shared" si="18"/>
        <v>290000</v>
      </c>
      <c r="J171" s="174"/>
      <c r="K171" s="153"/>
      <c r="L171" s="153"/>
      <c r="M171" s="153"/>
      <c r="N171" s="153"/>
      <c r="O171" s="153"/>
      <c r="P171" s="153"/>
      <c r="Q171" s="181"/>
      <c r="R171" s="181"/>
      <c r="S171" s="160"/>
      <c r="T171" s="160"/>
      <c r="U171" s="160"/>
    </row>
    <row r="172" spans="1:21" s="3" customFormat="1" ht="42" customHeight="1" x14ac:dyDescent="0.25">
      <c r="A172" s="97" t="s">
        <v>61</v>
      </c>
      <c r="B172" s="433" t="s">
        <v>372</v>
      </c>
      <c r="C172" s="433"/>
      <c r="D172" s="433"/>
      <c r="E172" s="433"/>
      <c r="F172" s="433"/>
      <c r="G172" s="433"/>
      <c r="H172" s="82">
        <f>H173+H180+H185+H186+H187+H203+H209+H216+H222</f>
        <v>63771000</v>
      </c>
      <c r="I172" s="227">
        <f t="shared" si="18"/>
        <v>0</v>
      </c>
      <c r="J172" s="174"/>
      <c r="K172" s="153"/>
      <c r="L172" s="153"/>
      <c r="M172" s="153"/>
      <c r="N172" s="153"/>
      <c r="O172" s="153"/>
      <c r="P172" s="153">
        <f>H172</f>
        <v>63771000</v>
      </c>
      <c r="Q172" s="181"/>
      <c r="R172" s="181"/>
      <c r="S172" s="160"/>
      <c r="T172" s="160"/>
      <c r="U172" s="160"/>
    </row>
    <row r="173" spans="1:21" s="6" customFormat="1" ht="32.450000000000003" customHeight="1" x14ac:dyDescent="0.25">
      <c r="A173" s="69">
        <v>1</v>
      </c>
      <c r="B173" s="434" t="s">
        <v>24</v>
      </c>
      <c r="C173" s="434"/>
      <c r="D173" s="434"/>
      <c r="E173" s="434"/>
      <c r="F173" s="434"/>
      <c r="G173" s="110"/>
      <c r="H173" s="29">
        <f>SUM(H174:H179)</f>
        <v>7752000</v>
      </c>
      <c r="I173" s="227">
        <f t="shared" si="18"/>
        <v>0</v>
      </c>
      <c r="J173" s="202"/>
      <c r="K173" s="202"/>
      <c r="L173" s="202"/>
      <c r="M173" s="202"/>
      <c r="N173" s="202"/>
      <c r="O173" s="203"/>
      <c r="P173" s="204"/>
      <c r="Q173" s="163"/>
      <c r="R173" s="163"/>
      <c r="S173" s="164"/>
      <c r="T173" s="164"/>
      <c r="U173" s="164"/>
    </row>
    <row r="174" spans="1:21" s="6" customFormat="1" ht="42.75" customHeight="1" x14ac:dyDescent="0.25">
      <c r="A174" s="40"/>
      <c r="B174" s="35" t="s">
        <v>25</v>
      </c>
      <c r="C174" s="41" t="s">
        <v>273</v>
      </c>
      <c r="D174" s="14" t="s">
        <v>14</v>
      </c>
      <c r="E174" s="42">
        <f>1*1*0.4*2</f>
        <v>0.8</v>
      </c>
      <c r="F174" s="16">
        <v>386181</v>
      </c>
      <c r="G174" s="243">
        <v>1</v>
      </c>
      <c r="H174" s="43">
        <f t="shared" ref="H174:H184" si="25">ROUND(E174*F174*G174,-3)</f>
        <v>309000</v>
      </c>
      <c r="I174" s="227">
        <f t="shared" si="18"/>
        <v>309000</v>
      </c>
      <c r="J174" s="202"/>
      <c r="K174" s="202"/>
      <c r="L174" s="202"/>
      <c r="M174" s="202"/>
      <c r="N174" s="202"/>
      <c r="O174" s="203"/>
      <c r="P174" s="204"/>
      <c r="Q174" s="158"/>
      <c r="R174" s="158"/>
      <c r="S174" s="164"/>
      <c r="T174" s="164"/>
      <c r="U174" s="164"/>
    </row>
    <row r="175" spans="1:21" s="6" customFormat="1" ht="32.450000000000003" customHeight="1" x14ac:dyDescent="0.25">
      <c r="A175" s="40"/>
      <c r="B175" s="34" t="s">
        <v>42</v>
      </c>
      <c r="C175" s="41" t="s">
        <v>274</v>
      </c>
      <c r="D175" s="14" t="s">
        <v>14</v>
      </c>
      <c r="E175" s="42">
        <f>E174/3</f>
        <v>0.26666666666666666</v>
      </c>
      <c r="F175" s="16">
        <v>185275</v>
      </c>
      <c r="G175" s="243">
        <v>1</v>
      </c>
      <c r="H175" s="43">
        <f t="shared" si="25"/>
        <v>49000</v>
      </c>
      <c r="I175" s="227">
        <f t="shared" si="18"/>
        <v>49000</v>
      </c>
      <c r="J175" s="202"/>
      <c r="K175" s="202"/>
      <c r="L175" s="202"/>
      <c r="M175" s="202"/>
      <c r="N175" s="202"/>
      <c r="O175" s="203"/>
      <c r="P175" s="204"/>
      <c r="Q175" s="158"/>
      <c r="R175" s="158"/>
      <c r="S175" s="164"/>
      <c r="T175" s="164"/>
      <c r="U175" s="164"/>
    </row>
    <row r="176" spans="1:21" s="6" customFormat="1" ht="35.450000000000003" customHeight="1" x14ac:dyDescent="0.25">
      <c r="A176" s="40"/>
      <c r="B176" s="35" t="s">
        <v>54</v>
      </c>
      <c r="C176" s="41" t="s">
        <v>275</v>
      </c>
      <c r="D176" s="14" t="s">
        <v>14</v>
      </c>
      <c r="E176" s="42">
        <f>1*1*0.2*2</f>
        <v>0.4</v>
      </c>
      <c r="F176" s="16">
        <v>2324553</v>
      </c>
      <c r="G176" s="243">
        <v>1</v>
      </c>
      <c r="H176" s="43">
        <f t="shared" si="25"/>
        <v>930000</v>
      </c>
      <c r="I176" s="227">
        <f t="shared" si="18"/>
        <v>930000</v>
      </c>
      <c r="J176" s="202"/>
      <c r="K176" s="202"/>
      <c r="L176" s="202"/>
      <c r="M176" s="202"/>
      <c r="N176" s="202"/>
      <c r="O176" s="203"/>
      <c r="P176" s="204"/>
      <c r="Q176" s="158"/>
      <c r="R176" s="158"/>
      <c r="S176" s="164"/>
      <c r="T176" s="164"/>
      <c r="U176" s="164"/>
    </row>
    <row r="177" spans="1:21" s="6" customFormat="1" ht="40.5" customHeight="1" x14ac:dyDescent="0.25">
      <c r="A177" s="40"/>
      <c r="B177" s="35" t="s">
        <v>26</v>
      </c>
      <c r="C177" s="41" t="s">
        <v>276</v>
      </c>
      <c r="D177" s="14" t="s">
        <v>14</v>
      </c>
      <c r="E177" s="42">
        <f>0.5*0.5*2.8*2</f>
        <v>1.4</v>
      </c>
      <c r="F177" s="16">
        <v>2543957</v>
      </c>
      <c r="G177" s="243">
        <v>1</v>
      </c>
      <c r="H177" s="43">
        <f t="shared" si="25"/>
        <v>3562000</v>
      </c>
      <c r="I177" s="227">
        <f t="shared" si="18"/>
        <v>3562000</v>
      </c>
      <c r="J177" s="202"/>
      <c r="K177" s="202"/>
      <c r="L177" s="202"/>
      <c r="M177" s="202"/>
      <c r="N177" s="202"/>
      <c r="O177" s="203"/>
      <c r="P177" s="204"/>
      <c r="Q177" s="158"/>
      <c r="R177" s="158"/>
      <c r="S177" s="164"/>
      <c r="T177" s="164"/>
      <c r="U177" s="164"/>
    </row>
    <row r="178" spans="1:21" s="6" customFormat="1" ht="32.450000000000003" customHeight="1" x14ac:dyDescent="0.25">
      <c r="A178" s="40"/>
      <c r="B178" s="35" t="s">
        <v>28</v>
      </c>
      <c r="C178" s="41" t="s">
        <v>278</v>
      </c>
      <c r="D178" s="14" t="s">
        <v>13</v>
      </c>
      <c r="E178" s="42">
        <f>2.8*0.5*4*2</f>
        <v>11.2</v>
      </c>
      <c r="F178" s="16">
        <v>242854</v>
      </c>
      <c r="G178" s="243">
        <v>1</v>
      </c>
      <c r="H178" s="43">
        <f t="shared" si="25"/>
        <v>2720000</v>
      </c>
      <c r="I178" s="227">
        <f t="shared" si="18"/>
        <v>2720000</v>
      </c>
      <c r="J178" s="202"/>
      <c r="K178" s="202"/>
      <c r="L178" s="202"/>
      <c r="M178" s="202"/>
      <c r="N178" s="202"/>
      <c r="O178" s="203"/>
      <c r="P178" s="204"/>
      <c r="Q178" s="158"/>
      <c r="R178" s="158"/>
      <c r="S178" s="164"/>
      <c r="T178" s="164"/>
      <c r="U178" s="164"/>
    </row>
    <row r="179" spans="1:21" s="6" customFormat="1" ht="29.45" customHeight="1" x14ac:dyDescent="0.25">
      <c r="A179" s="40"/>
      <c r="B179" s="34" t="s">
        <v>32</v>
      </c>
      <c r="C179" s="41" t="s">
        <v>277</v>
      </c>
      <c r="D179" s="14" t="s">
        <v>13</v>
      </c>
      <c r="E179" s="42">
        <f>E178</f>
        <v>11.2</v>
      </c>
      <c r="F179" s="16">
        <v>16279</v>
      </c>
      <c r="G179" s="243">
        <v>1</v>
      </c>
      <c r="H179" s="43">
        <f t="shared" si="25"/>
        <v>182000</v>
      </c>
      <c r="I179" s="227">
        <f t="shared" si="18"/>
        <v>182000</v>
      </c>
      <c r="J179" s="202"/>
      <c r="K179" s="202"/>
      <c r="L179" s="202"/>
      <c r="M179" s="202"/>
      <c r="N179" s="202"/>
      <c r="O179" s="203"/>
      <c r="P179" s="204"/>
      <c r="Q179" s="158"/>
      <c r="R179" s="158"/>
      <c r="S179" s="164"/>
      <c r="T179" s="164"/>
      <c r="U179" s="164"/>
    </row>
    <row r="180" spans="1:21" s="6" customFormat="1" ht="43.9" customHeight="1" x14ac:dyDescent="0.25">
      <c r="A180" s="69">
        <v>2</v>
      </c>
      <c r="B180" s="435" t="s">
        <v>33</v>
      </c>
      <c r="C180" s="435"/>
      <c r="D180" s="435"/>
      <c r="E180" s="435"/>
      <c r="F180" s="435"/>
      <c r="G180" s="110"/>
      <c r="H180" s="29">
        <f>SUM(H181:H184)</f>
        <v>3930000</v>
      </c>
      <c r="I180" s="227">
        <f t="shared" si="18"/>
        <v>0</v>
      </c>
      <c r="J180" s="202"/>
      <c r="K180" s="202"/>
      <c r="L180" s="202"/>
      <c r="M180" s="202"/>
      <c r="N180" s="202"/>
      <c r="O180" s="203"/>
      <c r="P180" s="204"/>
      <c r="Q180" s="163"/>
      <c r="R180" s="163"/>
      <c r="S180" s="164"/>
      <c r="T180" s="164"/>
      <c r="U180" s="164"/>
    </row>
    <row r="181" spans="1:21" s="6" customFormat="1" ht="33.75" customHeight="1" x14ac:dyDescent="0.25">
      <c r="A181" s="40"/>
      <c r="B181" s="99" t="s">
        <v>29</v>
      </c>
      <c r="C181" s="41" t="s">
        <v>279</v>
      </c>
      <c r="D181" s="14" t="s">
        <v>14</v>
      </c>
      <c r="E181" s="42">
        <f>3.2*1.1*0.15</f>
        <v>0.52800000000000002</v>
      </c>
      <c r="F181" s="16">
        <v>2687552</v>
      </c>
      <c r="G181" s="243">
        <v>1</v>
      </c>
      <c r="H181" s="43">
        <f t="shared" si="25"/>
        <v>1419000</v>
      </c>
      <c r="I181" s="227">
        <f t="shared" si="18"/>
        <v>1419000</v>
      </c>
      <c r="J181" s="202"/>
      <c r="K181" s="202"/>
      <c r="L181" s="202"/>
      <c r="M181" s="202"/>
      <c r="N181" s="202"/>
      <c r="O181" s="203"/>
      <c r="P181" s="204"/>
      <c r="Q181" s="158"/>
      <c r="R181" s="158"/>
      <c r="S181" s="164"/>
      <c r="T181" s="164"/>
      <c r="U181" s="164"/>
    </row>
    <row r="182" spans="1:21" s="6" customFormat="1" ht="42.75" customHeight="1" x14ac:dyDescent="0.25">
      <c r="A182" s="40"/>
      <c r="B182" s="100" t="s">
        <v>30</v>
      </c>
      <c r="C182" s="41" t="s">
        <v>280</v>
      </c>
      <c r="D182" s="14" t="s">
        <v>15</v>
      </c>
      <c r="E182" s="42">
        <f>((3.2*11)+(1.1*32))*0.395</f>
        <v>27.808000000000003</v>
      </c>
      <c r="F182" s="16">
        <v>26982</v>
      </c>
      <c r="G182" s="243">
        <v>1</v>
      </c>
      <c r="H182" s="43">
        <f t="shared" si="25"/>
        <v>750000</v>
      </c>
      <c r="I182" s="227">
        <f t="shared" si="18"/>
        <v>750000</v>
      </c>
      <c r="J182" s="202"/>
      <c r="K182" s="202"/>
      <c r="L182" s="202"/>
      <c r="M182" s="202"/>
      <c r="N182" s="202"/>
      <c r="O182" s="203"/>
      <c r="P182" s="204"/>
      <c r="Q182" s="158"/>
      <c r="R182" s="158"/>
      <c r="S182" s="164"/>
      <c r="T182" s="164"/>
      <c r="U182" s="164"/>
    </row>
    <row r="183" spans="1:21" s="6" customFormat="1" ht="41.25" customHeight="1" x14ac:dyDescent="0.25">
      <c r="A183" s="40"/>
      <c r="B183" s="100" t="s">
        <v>31</v>
      </c>
      <c r="C183" s="41" t="s">
        <v>281</v>
      </c>
      <c r="D183" s="14" t="s">
        <v>13</v>
      </c>
      <c r="E183" s="42">
        <f>(3.2*1.1)+(3.2+1.1)*2*0.15</f>
        <v>4.8100000000000005</v>
      </c>
      <c r="F183" s="16">
        <v>187964</v>
      </c>
      <c r="G183" s="243">
        <v>1</v>
      </c>
      <c r="H183" s="43">
        <f t="shared" si="25"/>
        <v>904000</v>
      </c>
      <c r="I183" s="227">
        <f t="shared" si="18"/>
        <v>904000</v>
      </c>
      <c r="J183" s="202"/>
      <c r="K183" s="202"/>
      <c r="L183" s="202"/>
      <c r="M183" s="202"/>
      <c r="N183" s="202"/>
      <c r="O183" s="203"/>
      <c r="P183" s="204"/>
      <c r="Q183" s="158"/>
      <c r="R183" s="158"/>
      <c r="S183" s="164"/>
      <c r="T183" s="164"/>
      <c r="U183" s="164"/>
    </row>
    <row r="184" spans="1:21" s="6" customFormat="1" ht="41.25" customHeight="1" x14ac:dyDescent="0.25">
      <c r="A184" s="40"/>
      <c r="B184" s="101" t="s">
        <v>55</v>
      </c>
      <c r="C184" s="41" t="s">
        <v>282</v>
      </c>
      <c r="D184" s="14" t="s">
        <v>34</v>
      </c>
      <c r="E184" s="42">
        <f>(3.2+1.1)*2</f>
        <v>8.6000000000000014</v>
      </c>
      <c r="F184" s="16">
        <v>99700</v>
      </c>
      <c r="G184" s="243">
        <v>1</v>
      </c>
      <c r="H184" s="43">
        <f t="shared" si="25"/>
        <v>857000</v>
      </c>
      <c r="I184" s="227">
        <f t="shared" si="18"/>
        <v>857000</v>
      </c>
      <c r="J184" s="205"/>
      <c r="K184" s="205"/>
      <c r="L184" s="205"/>
      <c r="M184" s="205"/>
      <c r="N184" s="205"/>
      <c r="O184" s="164"/>
      <c r="P184" s="206"/>
      <c r="Q184" s="158"/>
      <c r="R184" s="158"/>
      <c r="S184" s="164"/>
      <c r="T184" s="164"/>
      <c r="U184" s="164"/>
    </row>
    <row r="185" spans="1:21" s="44" customFormat="1" ht="39.950000000000003" customHeight="1" x14ac:dyDescent="0.25">
      <c r="A185" s="69">
        <v>3</v>
      </c>
      <c r="B185" s="70" t="s">
        <v>35</v>
      </c>
      <c r="C185" s="71" t="s">
        <v>283</v>
      </c>
      <c r="D185" s="69" t="s">
        <v>13</v>
      </c>
      <c r="E185" s="72">
        <f>2.35*2.1</f>
        <v>4.9350000000000005</v>
      </c>
      <c r="F185" s="73">
        <v>1429813</v>
      </c>
      <c r="G185" s="110">
        <v>1</v>
      </c>
      <c r="H185" s="29">
        <f>ROUND(E185*F185*G185,-3)</f>
        <v>7056000</v>
      </c>
      <c r="I185" s="227">
        <f t="shared" si="18"/>
        <v>7056000</v>
      </c>
      <c r="J185" s="207"/>
      <c r="K185" s="207"/>
      <c r="L185" s="207"/>
      <c r="M185" s="207"/>
      <c r="N185" s="207"/>
      <c r="O185" s="208"/>
      <c r="P185" s="208"/>
      <c r="Q185" s="165"/>
      <c r="R185" s="165"/>
      <c r="S185" s="166"/>
      <c r="T185" s="166"/>
      <c r="U185" s="166"/>
    </row>
    <row r="186" spans="1:21" s="30" customFormat="1" ht="45" customHeight="1" x14ac:dyDescent="0.25">
      <c r="A186" s="24">
        <v>4</v>
      </c>
      <c r="B186" s="25" t="s">
        <v>318</v>
      </c>
      <c r="C186" s="26" t="s">
        <v>56</v>
      </c>
      <c r="D186" s="24" t="s">
        <v>13</v>
      </c>
      <c r="E186" s="27">
        <f>6.2*3.2</f>
        <v>19.840000000000003</v>
      </c>
      <c r="F186" s="28">
        <v>208945</v>
      </c>
      <c r="G186" s="110">
        <v>1</v>
      </c>
      <c r="H186" s="29">
        <f>ROUND(E186*F186*G186,-3)</f>
        <v>4145000</v>
      </c>
      <c r="I186" s="227">
        <f t="shared" si="18"/>
        <v>4145000</v>
      </c>
      <c r="J186" s="209"/>
      <c r="K186" s="209"/>
      <c r="L186" s="209"/>
      <c r="M186" s="209"/>
      <c r="N186" s="209"/>
      <c r="O186" s="210"/>
      <c r="P186" s="210"/>
      <c r="Q186" s="167"/>
      <c r="R186" s="167"/>
      <c r="S186" s="168"/>
      <c r="T186" s="168"/>
      <c r="U186" s="168"/>
    </row>
    <row r="187" spans="1:21" s="10" customFormat="1" ht="33" customHeight="1" x14ac:dyDescent="0.25">
      <c r="A187" s="102">
        <v>5</v>
      </c>
      <c r="B187" s="435" t="s">
        <v>36</v>
      </c>
      <c r="C187" s="435"/>
      <c r="D187" s="435"/>
      <c r="E187" s="435"/>
      <c r="F187" s="435"/>
      <c r="G187" s="103"/>
      <c r="H187" s="104">
        <f>SUM(H188:H202)</f>
        <v>17405000</v>
      </c>
      <c r="I187" s="227">
        <f t="shared" si="18"/>
        <v>0</v>
      </c>
      <c r="J187" s="211"/>
      <c r="K187" s="169"/>
      <c r="L187" s="169"/>
      <c r="M187" s="169"/>
      <c r="N187" s="169"/>
      <c r="O187" s="169"/>
      <c r="P187" s="169"/>
      <c r="Q187" s="169"/>
      <c r="R187" s="169"/>
      <c r="S187" s="170"/>
      <c r="T187" s="170"/>
      <c r="U187" s="170"/>
    </row>
    <row r="188" spans="1:21" s="3" customFormat="1" ht="26.1" customHeight="1" x14ac:dyDescent="0.25">
      <c r="A188" s="31"/>
      <c r="B188" s="34" t="s">
        <v>41</v>
      </c>
      <c r="C188" s="33" t="s">
        <v>284</v>
      </c>
      <c r="D188" s="14" t="s">
        <v>14</v>
      </c>
      <c r="E188" s="15">
        <f>6.2*0.4*0.5*2</f>
        <v>2.4800000000000004</v>
      </c>
      <c r="F188" s="16">
        <v>266100</v>
      </c>
      <c r="G188" s="17">
        <v>1</v>
      </c>
      <c r="H188" s="18">
        <f t="shared" ref="H188:H197" si="26">ROUND(E188*F188*G188,-3)</f>
        <v>660000</v>
      </c>
      <c r="I188" s="227">
        <f t="shared" si="18"/>
        <v>660000</v>
      </c>
      <c r="J188" s="174"/>
      <c r="K188" s="153"/>
      <c r="L188" s="153"/>
      <c r="M188" s="153"/>
      <c r="N188" s="153"/>
      <c r="O188" s="153"/>
      <c r="P188" s="153"/>
      <c r="Q188" s="181"/>
      <c r="R188" s="181"/>
      <c r="S188" s="160"/>
      <c r="T188" s="160"/>
      <c r="U188" s="160"/>
    </row>
    <row r="189" spans="1:21" s="3" customFormat="1" ht="26.1" customHeight="1" x14ac:dyDescent="0.25">
      <c r="A189" s="31"/>
      <c r="B189" s="34" t="s">
        <v>42</v>
      </c>
      <c r="C189" s="33" t="s">
        <v>274</v>
      </c>
      <c r="D189" s="14" t="s">
        <v>14</v>
      </c>
      <c r="E189" s="15">
        <f>E188/3</f>
        <v>0.82666666666666677</v>
      </c>
      <c r="F189" s="16">
        <v>185275</v>
      </c>
      <c r="G189" s="17">
        <v>1</v>
      </c>
      <c r="H189" s="18">
        <f t="shared" si="26"/>
        <v>153000</v>
      </c>
      <c r="I189" s="227">
        <f t="shared" si="18"/>
        <v>153000</v>
      </c>
      <c r="J189" s="174"/>
      <c r="K189" s="153"/>
      <c r="L189" s="153"/>
      <c r="M189" s="153"/>
      <c r="N189" s="153"/>
      <c r="O189" s="153"/>
      <c r="P189" s="153"/>
      <c r="Q189" s="181"/>
      <c r="R189" s="181"/>
      <c r="S189" s="160"/>
      <c r="T189" s="160"/>
      <c r="U189" s="160"/>
    </row>
    <row r="190" spans="1:21" s="3" customFormat="1" ht="26.1" customHeight="1" x14ac:dyDescent="0.25">
      <c r="A190" s="31"/>
      <c r="B190" s="34" t="s">
        <v>43</v>
      </c>
      <c r="C190" s="33" t="s">
        <v>285</v>
      </c>
      <c r="D190" s="14" t="s">
        <v>14</v>
      </c>
      <c r="E190" s="15">
        <f>6.2*0.22*1.4*2</f>
        <v>3.8191999999999999</v>
      </c>
      <c r="F190" s="16">
        <v>1869307</v>
      </c>
      <c r="G190" s="17">
        <v>1</v>
      </c>
      <c r="H190" s="18">
        <f t="shared" si="26"/>
        <v>7139000</v>
      </c>
      <c r="I190" s="227">
        <f t="shared" si="18"/>
        <v>7139000</v>
      </c>
      <c r="J190" s="174"/>
      <c r="K190" s="153"/>
      <c r="L190" s="153"/>
      <c r="M190" s="153"/>
      <c r="N190" s="153"/>
      <c r="O190" s="153"/>
      <c r="P190" s="153"/>
      <c r="Q190" s="181"/>
      <c r="R190" s="181"/>
      <c r="S190" s="160"/>
      <c r="T190" s="160"/>
      <c r="U190" s="160"/>
    </row>
    <row r="191" spans="1:21" s="3" customFormat="1" ht="34.9" customHeight="1" x14ac:dyDescent="0.25">
      <c r="A191" s="31"/>
      <c r="B191" s="34" t="s">
        <v>44</v>
      </c>
      <c r="C191" s="33" t="s">
        <v>262</v>
      </c>
      <c r="D191" s="14" t="s">
        <v>14</v>
      </c>
      <c r="E191" s="15">
        <f>6.2*0.11*0.5*2</f>
        <v>0.68200000000000005</v>
      </c>
      <c r="F191" s="16">
        <v>2218558</v>
      </c>
      <c r="G191" s="17">
        <v>1</v>
      </c>
      <c r="H191" s="18">
        <f t="shared" si="26"/>
        <v>1513000</v>
      </c>
      <c r="I191" s="227">
        <f t="shared" si="18"/>
        <v>1513000</v>
      </c>
      <c r="J191" s="174"/>
      <c r="K191" s="153"/>
      <c r="L191" s="153"/>
      <c r="M191" s="153"/>
      <c r="N191" s="153"/>
      <c r="O191" s="153"/>
      <c r="P191" s="153"/>
      <c r="Q191" s="181"/>
      <c r="R191" s="181"/>
      <c r="S191" s="160"/>
      <c r="T191" s="160"/>
      <c r="U191" s="160"/>
    </row>
    <row r="192" spans="1:21" s="3" customFormat="1" ht="26.1" customHeight="1" x14ac:dyDescent="0.25">
      <c r="A192" s="31"/>
      <c r="B192" s="34" t="s">
        <v>47</v>
      </c>
      <c r="C192" s="33" t="s">
        <v>286</v>
      </c>
      <c r="D192" s="14" t="s">
        <v>13</v>
      </c>
      <c r="E192" s="15">
        <f>6.2*0.5*2*2</f>
        <v>12.4</v>
      </c>
      <c r="F192" s="16">
        <v>122264</v>
      </c>
      <c r="G192" s="17">
        <v>1</v>
      </c>
      <c r="H192" s="18">
        <f t="shared" si="26"/>
        <v>1516000</v>
      </c>
      <c r="I192" s="227">
        <f t="shared" si="18"/>
        <v>1516000</v>
      </c>
      <c r="J192" s="174"/>
      <c r="K192" s="153"/>
      <c r="L192" s="153"/>
      <c r="M192" s="153"/>
      <c r="N192" s="153"/>
      <c r="O192" s="153"/>
      <c r="P192" s="153"/>
      <c r="Q192" s="181"/>
      <c r="R192" s="181"/>
      <c r="S192" s="160"/>
      <c r="T192" s="160"/>
      <c r="U192" s="160"/>
    </row>
    <row r="193" spans="1:21" s="19" customFormat="1" ht="26.1" customHeight="1" x14ac:dyDescent="0.25">
      <c r="A193" s="31"/>
      <c r="B193" s="32" t="s">
        <v>45</v>
      </c>
      <c r="C193" s="33" t="s">
        <v>319</v>
      </c>
      <c r="D193" s="14" t="s">
        <v>13</v>
      </c>
      <c r="E193" s="15">
        <f>6.2*0.5*2</f>
        <v>6.2</v>
      </c>
      <c r="F193" s="16">
        <v>103996</v>
      </c>
      <c r="G193" s="17">
        <v>1</v>
      </c>
      <c r="H193" s="18">
        <f t="shared" si="26"/>
        <v>645000</v>
      </c>
      <c r="I193" s="227">
        <f t="shared" si="18"/>
        <v>645000</v>
      </c>
      <c r="J193" s="200"/>
      <c r="K193" s="161"/>
      <c r="L193" s="161"/>
      <c r="M193" s="161"/>
      <c r="N193" s="161"/>
      <c r="O193" s="161"/>
      <c r="P193" s="161"/>
      <c r="Q193" s="201"/>
      <c r="R193" s="201"/>
      <c r="S193" s="162"/>
      <c r="T193" s="162"/>
      <c r="U193" s="162"/>
    </row>
    <row r="194" spans="1:21" s="3" customFormat="1" ht="26.1" customHeight="1" x14ac:dyDescent="0.25">
      <c r="A194" s="31"/>
      <c r="B194" s="447" t="s">
        <v>37</v>
      </c>
      <c r="C194" s="448"/>
      <c r="D194" s="448"/>
      <c r="E194" s="448"/>
      <c r="F194" s="449"/>
      <c r="G194" s="17"/>
      <c r="H194" s="18"/>
      <c r="I194" s="227">
        <f t="shared" si="18"/>
        <v>0</v>
      </c>
      <c r="J194" s="174"/>
      <c r="K194" s="153"/>
      <c r="L194" s="153"/>
      <c r="M194" s="153"/>
      <c r="N194" s="153"/>
      <c r="O194" s="153"/>
      <c r="P194" s="153"/>
      <c r="Q194" s="181"/>
      <c r="R194" s="181"/>
      <c r="S194" s="160"/>
      <c r="T194" s="160"/>
      <c r="U194" s="160"/>
    </row>
    <row r="195" spans="1:21" s="3" customFormat="1" ht="26.1" customHeight="1" x14ac:dyDescent="0.25">
      <c r="A195" s="31"/>
      <c r="B195" s="32" t="s">
        <v>38</v>
      </c>
      <c r="C195" s="33" t="s">
        <v>279</v>
      </c>
      <c r="D195" s="14" t="s">
        <v>14</v>
      </c>
      <c r="E195" s="15">
        <f>6.2*0.25*0.15*2</f>
        <v>0.46499999999999997</v>
      </c>
      <c r="F195" s="16">
        <v>2687552</v>
      </c>
      <c r="G195" s="17">
        <v>1</v>
      </c>
      <c r="H195" s="18">
        <f t="shared" si="26"/>
        <v>1250000</v>
      </c>
      <c r="I195" s="227">
        <f t="shared" si="18"/>
        <v>1250000</v>
      </c>
      <c r="J195" s="174"/>
      <c r="K195" s="153"/>
      <c r="L195" s="153"/>
      <c r="M195" s="153"/>
      <c r="N195" s="153"/>
      <c r="O195" s="153"/>
      <c r="P195" s="153"/>
      <c r="Q195" s="181"/>
      <c r="R195" s="181"/>
      <c r="S195" s="160"/>
      <c r="T195" s="160"/>
      <c r="U195" s="160"/>
    </row>
    <row r="196" spans="1:21" s="3" customFormat="1" ht="30" customHeight="1" x14ac:dyDescent="0.25">
      <c r="A196" s="31"/>
      <c r="B196" s="105" t="s">
        <v>57</v>
      </c>
      <c r="C196" s="33" t="s">
        <v>287</v>
      </c>
      <c r="D196" s="14" t="s">
        <v>15</v>
      </c>
      <c r="E196" s="15">
        <f>6.2*0.89*2*2</f>
        <v>22.072000000000003</v>
      </c>
      <c r="F196" s="16">
        <v>26514</v>
      </c>
      <c r="G196" s="17">
        <v>1</v>
      </c>
      <c r="H196" s="18">
        <f t="shared" si="26"/>
        <v>585000</v>
      </c>
      <c r="I196" s="227">
        <f t="shared" si="18"/>
        <v>585000</v>
      </c>
      <c r="J196" s="174"/>
      <c r="K196" s="153"/>
      <c r="L196" s="153"/>
      <c r="M196" s="153"/>
      <c r="N196" s="153"/>
      <c r="O196" s="153"/>
      <c r="P196" s="153"/>
      <c r="Q196" s="181"/>
      <c r="R196" s="181"/>
      <c r="S196" s="160"/>
      <c r="T196" s="160"/>
      <c r="U196" s="160"/>
    </row>
    <row r="197" spans="1:21" s="6" customFormat="1" ht="41.25" customHeight="1" x14ac:dyDescent="0.25">
      <c r="A197" s="40"/>
      <c r="B197" s="100" t="s">
        <v>31</v>
      </c>
      <c r="C197" s="41" t="s">
        <v>281</v>
      </c>
      <c r="D197" s="14" t="s">
        <v>13</v>
      </c>
      <c r="E197" s="42">
        <f>(6.2+0.25)*2*0.15*2</f>
        <v>3.87</v>
      </c>
      <c r="F197" s="16">
        <v>187964</v>
      </c>
      <c r="G197" s="243">
        <v>1</v>
      </c>
      <c r="H197" s="43">
        <f t="shared" si="26"/>
        <v>727000</v>
      </c>
      <c r="I197" s="227">
        <f t="shared" si="18"/>
        <v>727000</v>
      </c>
      <c r="J197" s="202"/>
      <c r="K197" s="202"/>
      <c r="L197" s="202"/>
      <c r="M197" s="202"/>
      <c r="N197" s="202"/>
      <c r="O197" s="203"/>
      <c r="P197" s="204"/>
      <c r="Q197" s="158"/>
      <c r="R197" s="158"/>
      <c r="S197" s="164"/>
      <c r="T197" s="164"/>
      <c r="U197" s="164"/>
    </row>
    <row r="198" spans="1:21" s="3" customFormat="1" ht="26.1" customHeight="1" x14ac:dyDescent="0.25">
      <c r="A198" s="31"/>
      <c r="B198" s="447" t="s">
        <v>39</v>
      </c>
      <c r="C198" s="448"/>
      <c r="D198" s="448"/>
      <c r="E198" s="448"/>
      <c r="F198" s="449"/>
      <c r="G198" s="17"/>
      <c r="H198" s="18"/>
      <c r="I198" s="227">
        <f t="shared" si="18"/>
        <v>0</v>
      </c>
      <c r="J198" s="174"/>
      <c r="K198" s="153"/>
      <c r="L198" s="153"/>
      <c r="M198" s="153"/>
      <c r="N198" s="153"/>
      <c r="O198" s="153"/>
      <c r="P198" s="153"/>
      <c r="Q198" s="181"/>
      <c r="R198" s="181"/>
      <c r="S198" s="160"/>
      <c r="T198" s="160"/>
      <c r="U198" s="160"/>
    </row>
    <row r="199" spans="1:21" s="3" customFormat="1" ht="26.1" customHeight="1" x14ac:dyDescent="0.25">
      <c r="A199" s="31"/>
      <c r="B199" s="32" t="s">
        <v>38</v>
      </c>
      <c r="C199" s="33" t="s">
        <v>279</v>
      </c>
      <c r="D199" s="14" t="s">
        <v>14</v>
      </c>
      <c r="E199" s="15">
        <f>6.2*0.25*0.1*2</f>
        <v>0.31000000000000005</v>
      </c>
      <c r="F199" s="16">
        <v>2687552</v>
      </c>
      <c r="G199" s="17">
        <v>1</v>
      </c>
      <c r="H199" s="18">
        <f>ROUND(E199*F199*G199,-3)</f>
        <v>833000</v>
      </c>
      <c r="I199" s="227">
        <f t="shared" ref="I199:I262" si="27">ROUND(G199*F199*E199,-3)</f>
        <v>833000</v>
      </c>
      <c r="J199" s="174"/>
      <c r="K199" s="153"/>
      <c r="L199" s="153"/>
      <c r="M199" s="153"/>
      <c r="N199" s="153"/>
      <c r="O199" s="153"/>
      <c r="P199" s="153"/>
      <c r="Q199" s="181"/>
      <c r="R199" s="181"/>
      <c r="S199" s="160"/>
      <c r="T199" s="160"/>
      <c r="U199" s="160"/>
    </row>
    <row r="200" spans="1:21" s="3" customFormat="1" ht="30" customHeight="1" x14ac:dyDescent="0.25">
      <c r="A200" s="31"/>
      <c r="B200" s="105" t="s">
        <v>57</v>
      </c>
      <c r="C200" s="33" t="s">
        <v>287</v>
      </c>
      <c r="D200" s="14" t="s">
        <v>15</v>
      </c>
      <c r="E200" s="15">
        <f>6.2*0.89*2*2</f>
        <v>22.072000000000003</v>
      </c>
      <c r="F200" s="16">
        <v>26514</v>
      </c>
      <c r="G200" s="17">
        <v>1</v>
      </c>
      <c r="H200" s="18">
        <f>ROUND(E200*F200*G200,-3)</f>
        <v>585000</v>
      </c>
      <c r="I200" s="227">
        <f t="shared" si="27"/>
        <v>585000</v>
      </c>
      <c r="J200" s="174"/>
      <c r="K200" s="153"/>
      <c r="L200" s="153"/>
      <c r="M200" s="153"/>
      <c r="N200" s="153"/>
      <c r="O200" s="153"/>
      <c r="P200" s="153"/>
      <c r="Q200" s="181"/>
      <c r="R200" s="181"/>
      <c r="S200" s="160"/>
      <c r="T200" s="160"/>
      <c r="U200" s="160"/>
    </row>
    <row r="201" spans="1:21" s="6" customFormat="1" ht="41.25" customHeight="1" x14ac:dyDescent="0.25">
      <c r="A201" s="40"/>
      <c r="B201" s="100" t="s">
        <v>31</v>
      </c>
      <c r="C201" s="41" t="s">
        <v>281</v>
      </c>
      <c r="D201" s="14" t="s">
        <v>13</v>
      </c>
      <c r="E201" s="42">
        <f>(6.2+0.25)*2*0.1*2</f>
        <v>2.58</v>
      </c>
      <c r="F201" s="16">
        <v>187964</v>
      </c>
      <c r="G201" s="243">
        <v>1</v>
      </c>
      <c r="H201" s="43">
        <f>ROUND(E201*F201*G201,-3)</f>
        <v>485000</v>
      </c>
      <c r="I201" s="227">
        <f t="shared" si="27"/>
        <v>485000</v>
      </c>
      <c r="J201" s="202"/>
      <c r="K201" s="202"/>
      <c r="L201" s="202"/>
      <c r="M201" s="202"/>
      <c r="N201" s="202"/>
      <c r="O201" s="203"/>
      <c r="P201" s="204"/>
      <c r="Q201" s="158"/>
      <c r="R201" s="158"/>
      <c r="S201" s="164"/>
      <c r="T201" s="164"/>
      <c r="U201" s="164"/>
    </row>
    <row r="202" spans="1:21" s="3" customFormat="1" ht="26.1" customHeight="1" x14ac:dyDescent="0.25">
      <c r="A202" s="31"/>
      <c r="B202" s="34" t="s">
        <v>40</v>
      </c>
      <c r="C202" s="33" t="s">
        <v>288</v>
      </c>
      <c r="D202" s="14" t="s">
        <v>13</v>
      </c>
      <c r="E202" s="15">
        <f>6.2*0.25*2</f>
        <v>3.1</v>
      </c>
      <c r="F202" s="16">
        <v>423906</v>
      </c>
      <c r="G202" s="17">
        <v>1</v>
      </c>
      <c r="H202" s="18">
        <f>ROUND(E202*F202*G202,-3)</f>
        <v>1314000</v>
      </c>
      <c r="I202" s="227">
        <f t="shared" si="27"/>
        <v>1314000</v>
      </c>
      <c r="J202" s="174"/>
      <c r="K202" s="153"/>
      <c r="L202" s="153"/>
      <c r="M202" s="153"/>
      <c r="N202" s="153"/>
      <c r="O202" s="153"/>
      <c r="P202" s="153"/>
      <c r="Q202" s="181"/>
      <c r="R202" s="181"/>
      <c r="S202" s="160"/>
      <c r="T202" s="160"/>
      <c r="U202" s="160"/>
    </row>
    <row r="203" spans="1:21" s="10" customFormat="1" ht="39.6" customHeight="1" x14ac:dyDescent="0.25">
      <c r="A203" s="102">
        <v>6</v>
      </c>
      <c r="B203" s="435" t="s">
        <v>46</v>
      </c>
      <c r="C203" s="435"/>
      <c r="D203" s="435"/>
      <c r="E203" s="435"/>
      <c r="F203" s="435"/>
      <c r="G203" s="103"/>
      <c r="H203" s="104">
        <f>SUM(H204:H208)</f>
        <v>4666000</v>
      </c>
      <c r="I203" s="227">
        <f t="shared" si="27"/>
        <v>0</v>
      </c>
      <c r="J203" s="211"/>
      <c r="K203" s="169"/>
      <c r="L203" s="169"/>
      <c r="M203" s="169"/>
      <c r="N203" s="169"/>
      <c r="O203" s="169"/>
      <c r="P203" s="169"/>
      <c r="Q203" s="169"/>
      <c r="R203" s="169"/>
      <c r="S203" s="170"/>
      <c r="T203" s="170"/>
      <c r="U203" s="170"/>
    </row>
    <row r="204" spans="1:21" s="3" customFormat="1" ht="39.6" customHeight="1" x14ac:dyDescent="0.25">
      <c r="A204" s="31"/>
      <c r="B204" s="34" t="s">
        <v>41</v>
      </c>
      <c r="C204" s="33" t="s">
        <v>284</v>
      </c>
      <c r="D204" s="14" t="s">
        <v>14</v>
      </c>
      <c r="E204" s="15">
        <f>8*0.4*0.4</f>
        <v>1.2800000000000002</v>
      </c>
      <c r="F204" s="16">
        <v>266100</v>
      </c>
      <c r="G204" s="17">
        <v>1</v>
      </c>
      <c r="H204" s="18">
        <f>ROUND(E204*F204*G204,-3)</f>
        <v>341000</v>
      </c>
      <c r="I204" s="227">
        <f t="shared" si="27"/>
        <v>341000</v>
      </c>
      <c r="J204" s="174"/>
      <c r="K204" s="153"/>
      <c r="L204" s="153"/>
      <c r="M204" s="153"/>
      <c r="N204" s="153"/>
      <c r="O204" s="153"/>
      <c r="P204" s="153"/>
      <c r="Q204" s="181"/>
      <c r="R204" s="181"/>
      <c r="S204" s="160"/>
      <c r="T204" s="160"/>
      <c r="U204" s="160"/>
    </row>
    <row r="205" spans="1:21" s="3" customFormat="1" ht="39.6" customHeight="1" x14ac:dyDescent="0.25">
      <c r="A205" s="31"/>
      <c r="B205" s="34" t="s">
        <v>42</v>
      </c>
      <c r="C205" s="33" t="s">
        <v>274</v>
      </c>
      <c r="D205" s="14" t="s">
        <v>14</v>
      </c>
      <c r="E205" s="15">
        <f>E204/3</f>
        <v>0.42666666666666675</v>
      </c>
      <c r="F205" s="16">
        <v>185275</v>
      </c>
      <c r="G205" s="17">
        <v>1</v>
      </c>
      <c r="H205" s="18">
        <f>ROUND(E205*F205*G205,-3)</f>
        <v>79000</v>
      </c>
      <c r="I205" s="227">
        <f t="shared" si="27"/>
        <v>79000</v>
      </c>
      <c r="J205" s="174"/>
      <c r="K205" s="153"/>
      <c r="L205" s="153"/>
      <c r="M205" s="153"/>
      <c r="N205" s="153"/>
      <c r="O205" s="153"/>
      <c r="P205" s="153"/>
      <c r="Q205" s="181"/>
      <c r="R205" s="181"/>
      <c r="S205" s="160"/>
      <c r="T205" s="160"/>
      <c r="U205" s="160"/>
    </row>
    <row r="206" spans="1:21" s="3" customFormat="1" ht="39.6" customHeight="1" x14ac:dyDescent="0.25">
      <c r="A206" s="31"/>
      <c r="B206" s="34" t="s">
        <v>43</v>
      </c>
      <c r="C206" s="33" t="s">
        <v>285</v>
      </c>
      <c r="D206" s="14" t="s">
        <v>14</v>
      </c>
      <c r="E206" s="15">
        <f>8*0.22*0.4</f>
        <v>0.70400000000000007</v>
      </c>
      <c r="F206" s="16">
        <v>1869307</v>
      </c>
      <c r="G206" s="17">
        <v>1</v>
      </c>
      <c r="H206" s="18">
        <f>ROUND(E206*F206*G206,-3)</f>
        <v>1316000</v>
      </c>
      <c r="I206" s="227">
        <f t="shared" si="27"/>
        <v>1316000</v>
      </c>
      <c r="J206" s="174"/>
      <c r="K206" s="153"/>
      <c r="L206" s="153"/>
      <c r="M206" s="153"/>
      <c r="N206" s="153"/>
      <c r="O206" s="153"/>
      <c r="P206" s="153"/>
      <c r="Q206" s="181"/>
      <c r="R206" s="181"/>
      <c r="S206" s="160"/>
      <c r="T206" s="160"/>
      <c r="U206" s="160"/>
    </row>
    <row r="207" spans="1:21" s="3" customFormat="1" ht="39.6" customHeight="1" x14ac:dyDescent="0.25">
      <c r="A207" s="31"/>
      <c r="B207" s="34" t="s">
        <v>44</v>
      </c>
      <c r="C207" s="33" t="s">
        <v>262</v>
      </c>
      <c r="D207" s="14" t="s">
        <v>14</v>
      </c>
      <c r="E207" s="15">
        <f>8*0.11*1</f>
        <v>0.88</v>
      </c>
      <c r="F207" s="16">
        <v>2218558</v>
      </c>
      <c r="G207" s="17">
        <v>1</v>
      </c>
      <c r="H207" s="18">
        <f>ROUND(E207*F207*G207,-3)</f>
        <v>1952000</v>
      </c>
      <c r="I207" s="227">
        <f t="shared" si="27"/>
        <v>1952000</v>
      </c>
      <c r="J207" s="174"/>
      <c r="K207" s="153"/>
      <c r="L207" s="153"/>
      <c r="M207" s="153"/>
      <c r="N207" s="153"/>
      <c r="O207" s="153"/>
      <c r="P207" s="153"/>
      <c r="Q207" s="181"/>
      <c r="R207" s="181"/>
      <c r="S207" s="160"/>
      <c r="T207" s="160"/>
      <c r="U207" s="160"/>
    </row>
    <row r="208" spans="1:21" s="3" customFormat="1" ht="39.6" customHeight="1" x14ac:dyDescent="0.25">
      <c r="A208" s="31"/>
      <c r="B208" s="34" t="s">
        <v>47</v>
      </c>
      <c r="C208" s="33" t="s">
        <v>286</v>
      </c>
      <c r="D208" s="14" t="s">
        <v>13</v>
      </c>
      <c r="E208" s="15">
        <f>8*1</f>
        <v>8</v>
      </c>
      <c r="F208" s="16">
        <v>122264</v>
      </c>
      <c r="G208" s="17">
        <v>1</v>
      </c>
      <c r="H208" s="18">
        <f>ROUND(E208*F208*G208,-3)</f>
        <v>978000</v>
      </c>
      <c r="I208" s="227">
        <f t="shared" si="27"/>
        <v>978000</v>
      </c>
      <c r="J208" s="174"/>
      <c r="K208" s="153"/>
      <c r="L208" s="153"/>
      <c r="M208" s="153"/>
      <c r="N208" s="153"/>
      <c r="O208" s="153"/>
      <c r="P208" s="153"/>
      <c r="Q208" s="181"/>
      <c r="R208" s="181"/>
      <c r="S208" s="160"/>
      <c r="T208" s="160"/>
      <c r="U208" s="160"/>
    </row>
    <row r="209" spans="1:21" s="10" customFormat="1" ht="39.6" customHeight="1" x14ac:dyDescent="0.25">
      <c r="A209" s="102">
        <v>7</v>
      </c>
      <c r="B209" s="450" t="s">
        <v>48</v>
      </c>
      <c r="C209" s="451"/>
      <c r="D209" s="451"/>
      <c r="E209" s="451"/>
      <c r="F209" s="452"/>
      <c r="G209" s="106"/>
      <c r="H209" s="104">
        <f>SUM(H210:H215)</f>
        <v>8409000</v>
      </c>
      <c r="I209" s="227">
        <f t="shared" si="27"/>
        <v>0</v>
      </c>
      <c r="J209" s="211"/>
      <c r="K209" s="169"/>
      <c r="L209" s="169"/>
      <c r="M209" s="169"/>
      <c r="N209" s="169"/>
      <c r="O209" s="169"/>
      <c r="P209" s="169"/>
      <c r="Q209" s="212"/>
      <c r="R209" s="212"/>
      <c r="S209" s="170"/>
      <c r="T209" s="170"/>
      <c r="U209" s="170"/>
    </row>
    <row r="210" spans="1:21" s="3" customFormat="1" ht="26.1" customHeight="1" x14ac:dyDescent="0.25">
      <c r="A210" s="31"/>
      <c r="B210" s="34" t="s">
        <v>41</v>
      </c>
      <c r="C210" s="33" t="s">
        <v>284</v>
      </c>
      <c r="D210" s="14" t="s">
        <v>14</v>
      </c>
      <c r="E210" s="15">
        <f>13.7*0.4*0.4</f>
        <v>2.1920000000000002</v>
      </c>
      <c r="F210" s="16">
        <v>266100</v>
      </c>
      <c r="G210" s="17">
        <v>1</v>
      </c>
      <c r="H210" s="18">
        <f t="shared" ref="H210:H215" si="28">ROUND(E210*F210*G210,-3)</f>
        <v>583000</v>
      </c>
      <c r="I210" s="227">
        <f t="shared" si="27"/>
        <v>583000</v>
      </c>
      <c r="J210" s="174"/>
      <c r="K210" s="153"/>
      <c r="L210" s="153"/>
      <c r="M210" s="153"/>
      <c r="N210" s="153"/>
      <c r="O210" s="153"/>
      <c r="P210" s="153"/>
      <c r="Q210" s="181"/>
      <c r="R210" s="181"/>
      <c r="S210" s="160"/>
      <c r="T210" s="160"/>
      <c r="U210" s="160"/>
    </row>
    <row r="211" spans="1:21" s="3" customFormat="1" ht="26.1" customHeight="1" x14ac:dyDescent="0.25">
      <c r="A211" s="31"/>
      <c r="B211" s="34" t="s">
        <v>42</v>
      </c>
      <c r="C211" s="33" t="s">
        <v>274</v>
      </c>
      <c r="D211" s="14" t="s">
        <v>14</v>
      </c>
      <c r="E211" s="15">
        <f>E210/3</f>
        <v>0.73066666666666669</v>
      </c>
      <c r="F211" s="16">
        <v>185275</v>
      </c>
      <c r="G211" s="17">
        <v>1</v>
      </c>
      <c r="H211" s="18">
        <f t="shared" si="28"/>
        <v>135000</v>
      </c>
      <c r="I211" s="227">
        <f t="shared" si="27"/>
        <v>135000</v>
      </c>
      <c r="J211" s="174"/>
      <c r="K211" s="153"/>
      <c r="L211" s="153"/>
      <c r="M211" s="153"/>
      <c r="N211" s="153"/>
      <c r="O211" s="153"/>
      <c r="P211" s="153"/>
      <c r="Q211" s="181"/>
      <c r="R211" s="181"/>
      <c r="S211" s="160"/>
      <c r="T211" s="160"/>
      <c r="U211" s="160"/>
    </row>
    <row r="212" spans="1:21" s="3" customFormat="1" ht="29.45" customHeight="1" x14ac:dyDescent="0.25">
      <c r="A212" s="31"/>
      <c r="B212" s="34" t="s">
        <v>49</v>
      </c>
      <c r="C212" s="33" t="s">
        <v>289</v>
      </c>
      <c r="D212" s="14" t="s">
        <v>14</v>
      </c>
      <c r="E212" s="15">
        <f>13.7*0.22*0.4</f>
        <v>1.2056</v>
      </c>
      <c r="F212" s="16">
        <v>1952153</v>
      </c>
      <c r="G212" s="17">
        <v>1</v>
      </c>
      <c r="H212" s="18">
        <f t="shared" si="28"/>
        <v>2354000</v>
      </c>
      <c r="I212" s="227">
        <f t="shared" si="27"/>
        <v>2354000</v>
      </c>
      <c r="J212" s="174"/>
      <c r="K212" s="153"/>
      <c r="L212" s="153"/>
      <c r="M212" s="153"/>
      <c r="N212" s="153"/>
      <c r="O212" s="153"/>
      <c r="P212" s="153"/>
      <c r="Q212" s="181"/>
      <c r="R212" s="181"/>
      <c r="S212" s="160"/>
      <c r="T212" s="160"/>
      <c r="U212" s="160"/>
    </row>
    <row r="213" spans="1:21" s="3" customFormat="1" ht="36.6" customHeight="1" x14ac:dyDescent="0.25">
      <c r="A213" s="31"/>
      <c r="B213" s="34" t="s">
        <v>50</v>
      </c>
      <c r="C213" s="33" t="s">
        <v>290</v>
      </c>
      <c r="D213" s="14" t="s">
        <v>14</v>
      </c>
      <c r="E213" s="15">
        <f>13.7*0.11*0.9</f>
        <v>1.3562999999999998</v>
      </c>
      <c r="F213" s="16">
        <v>2013297</v>
      </c>
      <c r="G213" s="17">
        <v>1</v>
      </c>
      <c r="H213" s="18">
        <f t="shared" si="28"/>
        <v>2731000</v>
      </c>
      <c r="I213" s="227">
        <f t="shared" si="27"/>
        <v>2731000</v>
      </c>
      <c r="J213" s="174"/>
      <c r="K213" s="153"/>
      <c r="L213" s="153"/>
      <c r="M213" s="153"/>
      <c r="N213" s="153"/>
      <c r="O213" s="153"/>
      <c r="P213" s="153"/>
      <c r="Q213" s="181"/>
      <c r="R213" s="181"/>
      <c r="S213" s="160"/>
      <c r="T213" s="160"/>
      <c r="U213" s="160"/>
    </row>
    <row r="214" spans="1:21" s="3" customFormat="1" ht="39.6" customHeight="1" x14ac:dyDescent="0.25">
      <c r="A214" s="31"/>
      <c r="B214" s="34" t="s">
        <v>47</v>
      </c>
      <c r="C214" s="33" t="s">
        <v>286</v>
      </c>
      <c r="D214" s="14" t="s">
        <v>13</v>
      </c>
      <c r="E214" s="15">
        <f>13.7*0.9</f>
        <v>12.33</v>
      </c>
      <c r="F214" s="16">
        <v>122264</v>
      </c>
      <c r="G214" s="17">
        <v>1</v>
      </c>
      <c r="H214" s="18">
        <f t="shared" si="28"/>
        <v>1508000</v>
      </c>
      <c r="I214" s="227">
        <f t="shared" si="27"/>
        <v>1508000</v>
      </c>
      <c r="J214" s="174"/>
      <c r="K214" s="153"/>
      <c r="L214" s="153"/>
      <c r="M214" s="153"/>
      <c r="N214" s="153"/>
      <c r="O214" s="153"/>
      <c r="P214" s="153"/>
      <c r="Q214" s="181"/>
      <c r="R214" s="181"/>
      <c r="S214" s="160"/>
      <c r="T214" s="160"/>
      <c r="U214" s="160"/>
    </row>
    <row r="215" spans="1:21" s="19" customFormat="1" ht="39.6" customHeight="1" x14ac:dyDescent="0.25">
      <c r="A215" s="31"/>
      <c r="B215" s="34" t="s">
        <v>51</v>
      </c>
      <c r="C215" s="33" t="s">
        <v>262</v>
      </c>
      <c r="D215" s="14" t="s">
        <v>14</v>
      </c>
      <c r="E215" s="15">
        <f>7.5*0.11*0.6</f>
        <v>0.49499999999999994</v>
      </c>
      <c r="F215" s="16">
        <v>2218558</v>
      </c>
      <c r="G215" s="17">
        <v>1</v>
      </c>
      <c r="H215" s="18">
        <f t="shared" si="28"/>
        <v>1098000</v>
      </c>
      <c r="I215" s="227">
        <f t="shared" si="27"/>
        <v>1098000</v>
      </c>
      <c r="J215" s="200"/>
      <c r="K215" s="161"/>
      <c r="L215" s="161"/>
      <c r="M215" s="161"/>
      <c r="N215" s="161"/>
      <c r="O215" s="161"/>
      <c r="P215" s="161"/>
      <c r="Q215" s="201"/>
      <c r="R215" s="201"/>
      <c r="S215" s="162"/>
      <c r="T215" s="162"/>
      <c r="U215" s="162"/>
    </row>
    <row r="216" spans="1:21" s="10" customFormat="1" ht="39.6" customHeight="1" x14ac:dyDescent="0.25">
      <c r="A216" s="102">
        <v>8</v>
      </c>
      <c r="B216" s="435" t="s">
        <v>52</v>
      </c>
      <c r="C216" s="435"/>
      <c r="D216" s="435"/>
      <c r="E216" s="435"/>
      <c r="F216" s="435"/>
      <c r="G216" s="103"/>
      <c r="H216" s="104">
        <f>SUM(H217:H221)</f>
        <v>1397000</v>
      </c>
      <c r="I216" s="227">
        <f t="shared" si="27"/>
        <v>0</v>
      </c>
      <c r="J216" s="211"/>
      <c r="K216" s="169"/>
      <c r="L216" s="169"/>
      <c r="M216" s="169"/>
      <c r="N216" s="169"/>
      <c r="O216" s="169"/>
      <c r="P216" s="169"/>
      <c r="Q216" s="169"/>
      <c r="R216" s="169"/>
      <c r="S216" s="170"/>
      <c r="T216" s="170"/>
      <c r="U216" s="170"/>
    </row>
    <row r="217" spans="1:21" s="3" customFormat="1" ht="39.6" customHeight="1" x14ac:dyDescent="0.25">
      <c r="A217" s="31"/>
      <c r="B217" s="34" t="s">
        <v>41</v>
      </c>
      <c r="C217" s="33" t="s">
        <v>284</v>
      </c>
      <c r="D217" s="14" t="s">
        <v>14</v>
      </c>
      <c r="E217" s="15">
        <f>1.7*0.4*0.4</f>
        <v>0.27200000000000002</v>
      </c>
      <c r="F217" s="16">
        <v>266100</v>
      </c>
      <c r="G217" s="17">
        <v>1</v>
      </c>
      <c r="H217" s="18">
        <f>ROUND(E217*F217*G217,-3)</f>
        <v>72000</v>
      </c>
      <c r="I217" s="227">
        <f t="shared" si="27"/>
        <v>72000</v>
      </c>
      <c r="J217" s="174"/>
      <c r="K217" s="153"/>
      <c r="L217" s="153"/>
      <c r="M217" s="153"/>
      <c r="N217" s="153"/>
      <c r="O217" s="153"/>
      <c r="P217" s="153"/>
      <c r="Q217" s="181"/>
      <c r="R217" s="181"/>
      <c r="S217" s="160"/>
      <c r="T217" s="160"/>
      <c r="U217" s="160"/>
    </row>
    <row r="218" spans="1:21" s="3" customFormat="1" ht="39.6" customHeight="1" x14ac:dyDescent="0.25">
      <c r="A218" s="31"/>
      <c r="B218" s="34" t="s">
        <v>42</v>
      </c>
      <c r="C218" s="33" t="s">
        <v>274</v>
      </c>
      <c r="D218" s="14" t="s">
        <v>14</v>
      </c>
      <c r="E218" s="15">
        <f>E217/3</f>
        <v>9.0666666666666673E-2</v>
      </c>
      <c r="F218" s="16">
        <v>185275</v>
      </c>
      <c r="G218" s="17">
        <v>1</v>
      </c>
      <c r="H218" s="18">
        <f>ROUND(E218*F218*G218,-3)</f>
        <v>17000</v>
      </c>
      <c r="I218" s="227">
        <f t="shared" si="27"/>
        <v>17000</v>
      </c>
      <c r="J218" s="174"/>
      <c r="K218" s="153"/>
      <c r="L218" s="153"/>
      <c r="M218" s="153"/>
      <c r="N218" s="153"/>
      <c r="O218" s="153"/>
      <c r="P218" s="153"/>
      <c r="Q218" s="181"/>
      <c r="R218" s="181"/>
      <c r="S218" s="160"/>
      <c r="T218" s="160"/>
      <c r="U218" s="160"/>
    </row>
    <row r="219" spans="1:21" s="3" customFormat="1" ht="39.6" customHeight="1" x14ac:dyDescent="0.25">
      <c r="A219" s="31"/>
      <c r="B219" s="34" t="s">
        <v>43</v>
      </c>
      <c r="C219" s="33" t="s">
        <v>285</v>
      </c>
      <c r="D219" s="14" t="s">
        <v>14</v>
      </c>
      <c r="E219" s="15">
        <f>1.7*0.22*0.4</f>
        <v>0.14960000000000001</v>
      </c>
      <c r="F219" s="16">
        <v>1869307</v>
      </c>
      <c r="G219" s="17">
        <v>1</v>
      </c>
      <c r="H219" s="18">
        <f>ROUND(E219*F219*G219,-3)</f>
        <v>280000</v>
      </c>
      <c r="I219" s="227">
        <f t="shared" si="27"/>
        <v>280000</v>
      </c>
      <c r="J219" s="174"/>
      <c r="K219" s="153"/>
      <c r="L219" s="153"/>
      <c r="M219" s="153"/>
      <c r="N219" s="153"/>
      <c r="O219" s="153"/>
      <c r="P219" s="153"/>
      <c r="Q219" s="181"/>
      <c r="R219" s="181"/>
      <c r="S219" s="160"/>
      <c r="T219" s="160"/>
      <c r="U219" s="160"/>
    </row>
    <row r="220" spans="1:21" s="3" customFormat="1" ht="39.6" customHeight="1" x14ac:dyDescent="0.25">
      <c r="A220" s="31"/>
      <c r="B220" s="34" t="s">
        <v>44</v>
      </c>
      <c r="C220" s="33" t="s">
        <v>262</v>
      </c>
      <c r="D220" s="14" t="s">
        <v>14</v>
      </c>
      <c r="E220" s="15">
        <f>1.7*0.11*1.65</f>
        <v>0.30854999999999999</v>
      </c>
      <c r="F220" s="16">
        <v>2218558</v>
      </c>
      <c r="G220" s="17">
        <v>1</v>
      </c>
      <c r="H220" s="18">
        <f>ROUND(E220*F220*G220,-3)</f>
        <v>685000</v>
      </c>
      <c r="I220" s="227">
        <f t="shared" si="27"/>
        <v>685000</v>
      </c>
      <c r="J220" s="174"/>
      <c r="K220" s="153"/>
      <c r="L220" s="153"/>
      <c r="M220" s="153"/>
      <c r="N220" s="153"/>
      <c r="O220" s="153"/>
      <c r="P220" s="153"/>
      <c r="Q220" s="181"/>
      <c r="R220" s="181"/>
      <c r="S220" s="160"/>
      <c r="T220" s="160"/>
      <c r="U220" s="160"/>
    </row>
    <row r="221" spans="1:21" s="3" customFormat="1" ht="39.6" customHeight="1" x14ac:dyDescent="0.25">
      <c r="A221" s="31"/>
      <c r="B221" s="34" t="s">
        <v>47</v>
      </c>
      <c r="C221" s="33" t="s">
        <v>286</v>
      </c>
      <c r="D221" s="14" t="s">
        <v>13</v>
      </c>
      <c r="E221" s="15">
        <f>1.7*1.65</f>
        <v>2.8049999999999997</v>
      </c>
      <c r="F221" s="16">
        <v>122264</v>
      </c>
      <c r="G221" s="17">
        <v>1</v>
      </c>
      <c r="H221" s="18">
        <f>ROUND(E221*F221*G221,-3)</f>
        <v>343000</v>
      </c>
      <c r="I221" s="227">
        <f t="shared" si="27"/>
        <v>343000</v>
      </c>
      <c r="J221" s="174"/>
      <c r="K221" s="153"/>
      <c r="L221" s="153"/>
      <c r="M221" s="153"/>
      <c r="N221" s="153"/>
      <c r="O221" s="153"/>
      <c r="P221" s="153"/>
      <c r="Q221" s="181"/>
      <c r="R221" s="181"/>
      <c r="S221" s="160"/>
      <c r="T221" s="160"/>
      <c r="U221" s="160"/>
    </row>
    <row r="222" spans="1:21" s="10" customFormat="1" ht="39.6" customHeight="1" x14ac:dyDescent="0.25">
      <c r="A222" s="102">
        <v>9</v>
      </c>
      <c r="B222" s="450" t="s">
        <v>53</v>
      </c>
      <c r="C222" s="451"/>
      <c r="D222" s="451"/>
      <c r="E222" s="451"/>
      <c r="F222" s="452"/>
      <c r="G222" s="106"/>
      <c r="H222" s="104">
        <f>SUM(H223:H226)</f>
        <v>9011000</v>
      </c>
      <c r="I222" s="227">
        <f t="shared" si="27"/>
        <v>0</v>
      </c>
      <c r="J222" s="211"/>
      <c r="K222" s="169"/>
      <c r="L222" s="169"/>
      <c r="M222" s="169"/>
      <c r="N222" s="169"/>
      <c r="O222" s="169"/>
      <c r="P222" s="169"/>
      <c r="Q222" s="212"/>
      <c r="R222" s="212"/>
      <c r="S222" s="170"/>
      <c r="T222" s="170"/>
      <c r="U222" s="170"/>
    </row>
    <row r="223" spans="1:21" s="3" customFormat="1" ht="26.1" customHeight="1" x14ac:dyDescent="0.25">
      <c r="A223" s="31"/>
      <c r="B223" s="34" t="s">
        <v>41</v>
      </c>
      <c r="C223" s="33" t="s">
        <v>284</v>
      </c>
      <c r="D223" s="14" t="s">
        <v>14</v>
      </c>
      <c r="E223" s="15">
        <f>15*0.4*0.4</f>
        <v>2.4000000000000004</v>
      </c>
      <c r="F223" s="16">
        <v>266100</v>
      </c>
      <c r="G223" s="17">
        <v>1</v>
      </c>
      <c r="H223" s="18">
        <f>ROUND(E223*F223*G223,-3)</f>
        <v>639000</v>
      </c>
      <c r="I223" s="227">
        <f t="shared" si="27"/>
        <v>639000</v>
      </c>
      <c r="J223" s="174"/>
      <c r="K223" s="153"/>
      <c r="L223" s="153"/>
      <c r="M223" s="153"/>
      <c r="N223" s="153"/>
      <c r="O223" s="153"/>
      <c r="P223" s="153"/>
      <c r="Q223" s="181"/>
      <c r="R223" s="181"/>
      <c r="S223" s="160"/>
      <c r="T223" s="160"/>
      <c r="U223" s="160"/>
    </row>
    <row r="224" spans="1:21" s="3" customFormat="1" ht="26.1" customHeight="1" x14ac:dyDescent="0.25">
      <c r="A224" s="31"/>
      <c r="B224" s="34" t="s">
        <v>42</v>
      </c>
      <c r="C224" s="33" t="s">
        <v>274</v>
      </c>
      <c r="D224" s="14" t="s">
        <v>14</v>
      </c>
      <c r="E224" s="15">
        <f>E223/3</f>
        <v>0.80000000000000016</v>
      </c>
      <c r="F224" s="16">
        <v>185275</v>
      </c>
      <c r="G224" s="17">
        <v>1</v>
      </c>
      <c r="H224" s="18">
        <f>ROUND(E224*F224*G224,-3)</f>
        <v>148000</v>
      </c>
      <c r="I224" s="227">
        <f t="shared" si="27"/>
        <v>148000</v>
      </c>
      <c r="J224" s="174"/>
      <c r="K224" s="153"/>
      <c r="L224" s="153"/>
      <c r="M224" s="153"/>
      <c r="N224" s="153"/>
      <c r="O224" s="153"/>
      <c r="P224" s="153"/>
      <c r="Q224" s="181"/>
      <c r="R224" s="181"/>
      <c r="S224" s="160"/>
      <c r="T224" s="160"/>
      <c r="U224" s="160"/>
    </row>
    <row r="225" spans="1:21" s="3" customFormat="1" ht="29.45" customHeight="1" x14ac:dyDescent="0.25">
      <c r="A225" s="31"/>
      <c r="B225" s="34" t="s">
        <v>49</v>
      </c>
      <c r="C225" s="33" t="s">
        <v>289</v>
      </c>
      <c r="D225" s="14" t="s">
        <v>14</v>
      </c>
      <c r="E225" s="15">
        <f>15*0.22*0.4</f>
        <v>1.32</v>
      </c>
      <c r="F225" s="16">
        <v>1952153</v>
      </c>
      <c r="G225" s="17">
        <v>1</v>
      </c>
      <c r="H225" s="18">
        <f>ROUND(E225*F225*G225,-3)</f>
        <v>2577000</v>
      </c>
      <c r="I225" s="227">
        <f t="shared" si="27"/>
        <v>2577000</v>
      </c>
      <c r="J225" s="174"/>
      <c r="K225" s="153"/>
      <c r="L225" s="153"/>
      <c r="M225" s="153"/>
      <c r="N225" s="153"/>
      <c r="O225" s="153"/>
      <c r="P225" s="153"/>
      <c r="Q225" s="181"/>
      <c r="R225" s="181"/>
      <c r="S225" s="160"/>
      <c r="T225" s="160"/>
      <c r="U225" s="160"/>
    </row>
    <row r="226" spans="1:21" s="19" customFormat="1" ht="36.6" customHeight="1" x14ac:dyDescent="0.25">
      <c r="A226" s="31"/>
      <c r="B226" s="34" t="s">
        <v>50</v>
      </c>
      <c r="C226" s="33" t="s">
        <v>290</v>
      </c>
      <c r="D226" s="14" t="s">
        <v>14</v>
      </c>
      <c r="E226" s="15">
        <f>15*0.11*1.7</f>
        <v>2.8049999999999997</v>
      </c>
      <c r="F226" s="16">
        <v>2013297</v>
      </c>
      <c r="G226" s="17">
        <v>1</v>
      </c>
      <c r="H226" s="18">
        <f>ROUND(E226*F226*G226,-3)</f>
        <v>5647000</v>
      </c>
      <c r="I226" s="227">
        <f t="shared" si="27"/>
        <v>5647000</v>
      </c>
      <c r="J226" s="200"/>
      <c r="K226" s="161"/>
      <c r="L226" s="161"/>
      <c r="M226" s="161"/>
      <c r="N226" s="161"/>
      <c r="O226" s="161"/>
      <c r="P226" s="161"/>
      <c r="Q226" s="201"/>
      <c r="R226" s="201"/>
      <c r="S226" s="162"/>
      <c r="T226" s="162"/>
      <c r="U226" s="162"/>
    </row>
    <row r="227" spans="1:21" s="19" customFormat="1" ht="59.25" customHeight="1" x14ac:dyDescent="0.25">
      <c r="A227" s="81" t="s">
        <v>236</v>
      </c>
      <c r="B227" s="148" t="s">
        <v>400</v>
      </c>
      <c r="C227" s="149"/>
      <c r="D227" s="40" t="s">
        <v>13</v>
      </c>
      <c r="E227" s="118">
        <v>15.3</v>
      </c>
      <c r="F227" s="126">
        <v>500000</v>
      </c>
      <c r="G227" s="150">
        <v>1</v>
      </c>
      <c r="H227" s="82">
        <f>E227*F227</f>
        <v>7650000</v>
      </c>
      <c r="I227" s="227">
        <f t="shared" si="27"/>
        <v>7650000</v>
      </c>
      <c r="J227" s="200"/>
      <c r="K227" s="161"/>
      <c r="L227" s="161"/>
      <c r="M227" s="161"/>
      <c r="N227" s="161"/>
      <c r="O227" s="161"/>
      <c r="P227" s="161"/>
      <c r="Q227" s="201"/>
      <c r="R227" s="201"/>
      <c r="S227" s="171">
        <f>I227</f>
        <v>7650000</v>
      </c>
      <c r="T227" s="162"/>
      <c r="U227" s="162"/>
    </row>
    <row r="228" spans="1:21" s="19" customFormat="1" ht="59.25" customHeight="1" x14ac:dyDescent="0.25">
      <c r="A228" s="81" t="s">
        <v>238</v>
      </c>
      <c r="B228" s="148" t="s">
        <v>401</v>
      </c>
      <c r="C228" s="149"/>
      <c r="D228" s="40" t="s">
        <v>13</v>
      </c>
      <c r="E228" s="118">
        <v>53.5</v>
      </c>
      <c r="F228" s="126">
        <v>30000</v>
      </c>
      <c r="G228" s="150">
        <v>1</v>
      </c>
      <c r="H228" s="82">
        <f>E228*F228</f>
        <v>1605000</v>
      </c>
      <c r="I228" s="227">
        <f t="shared" si="27"/>
        <v>1605000</v>
      </c>
      <c r="J228" s="200"/>
      <c r="K228" s="161"/>
      <c r="L228" s="161"/>
      <c r="M228" s="161"/>
      <c r="N228" s="161"/>
      <c r="O228" s="161"/>
      <c r="P228" s="161"/>
      <c r="Q228" s="201"/>
      <c r="R228" s="201"/>
      <c r="S228" s="171">
        <f>H228</f>
        <v>1605000</v>
      </c>
      <c r="T228" s="162"/>
      <c r="U228" s="162"/>
    </row>
    <row r="229" spans="1:21" s="4" customFormat="1" ht="35.450000000000003" customHeight="1" x14ac:dyDescent="0.25">
      <c r="A229" s="81" t="s">
        <v>75</v>
      </c>
      <c r="B229" s="440" t="s">
        <v>410</v>
      </c>
      <c r="C229" s="440"/>
      <c r="D229" s="440"/>
      <c r="E229" s="440"/>
      <c r="F229" s="440"/>
      <c r="G229" s="440"/>
      <c r="H229" s="82">
        <f>H230+H237+H239+H274</f>
        <v>198153000</v>
      </c>
      <c r="I229" s="227">
        <f t="shared" si="27"/>
        <v>0</v>
      </c>
      <c r="J229" s="174">
        <f>H229-I229</f>
        <v>198153000</v>
      </c>
      <c r="K229" s="153"/>
      <c r="L229" s="153"/>
      <c r="M229" s="153"/>
      <c r="N229" s="153"/>
      <c r="O229" s="153"/>
      <c r="P229" s="153"/>
      <c r="Q229" s="188"/>
      <c r="R229" s="188"/>
      <c r="S229" s="155"/>
      <c r="T229" s="155"/>
      <c r="U229" s="155"/>
    </row>
    <row r="230" spans="1:21" s="9" customFormat="1" ht="62.25" customHeight="1" x14ac:dyDescent="0.25">
      <c r="A230" s="83" t="s">
        <v>11</v>
      </c>
      <c r="B230" s="446" t="s">
        <v>404</v>
      </c>
      <c r="C230" s="446"/>
      <c r="D230" s="446"/>
      <c r="E230" s="446"/>
      <c r="F230" s="446"/>
      <c r="G230" s="246"/>
      <c r="H230" s="84">
        <f>SUM(H231:H236)</f>
        <v>115966000</v>
      </c>
      <c r="I230" s="227">
        <f t="shared" si="27"/>
        <v>0</v>
      </c>
      <c r="J230" s="189"/>
      <c r="K230" s="175"/>
      <c r="L230" s="175"/>
      <c r="M230" s="175"/>
      <c r="N230" s="175"/>
      <c r="O230" s="175"/>
      <c r="P230" s="190"/>
      <c r="Q230" s="156"/>
      <c r="R230" s="156"/>
      <c r="S230" s="157"/>
      <c r="T230" s="157"/>
      <c r="U230" s="157"/>
    </row>
    <row r="231" spans="1:21" s="8" customFormat="1" ht="26.1" customHeight="1" x14ac:dyDescent="0.25">
      <c r="A231" s="85"/>
      <c r="B231" s="86" t="s">
        <v>239</v>
      </c>
      <c r="C231" s="87" t="s">
        <v>240</v>
      </c>
      <c r="D231" s="85" t="s">
        <v>13</v>
      </c>
      <c r="E231" s="92">
        <v>212.1</v>
      </c>
      <c r="F231" s="89">
        <v>75000</v>
      </c>
      <c r="G231" s="247">
        <v>1</v>
      </c>
      <c r="H231" s="91">
        <f>ROUND(E231*F231*G231,-3)</f>
        <v>15908000</v>
      </c>
      <c r="I231" s="227">
        <f t="shared" si="27"/>
        <v>15908000</v>
      </c>
      <c r="J231" s="191"/>
      <c r="K231" s="192">
        <f>H231</f>
        <v>15908000</v>
      </c>
      <c r="L231" s="192"/>
      <c r="M231" s="192"/>
      <c r="N231" s="192"/>
      <c r="O231" s="192"/>
      <c r="P231" s="193"/>
      <c r="Q231" s="158"/>
      <c r="R231" s="158"/>
      <c r="S231" s="159"/>
      <c r="T231" s="159"/>
      <c r="U231" s="159"/>
    </row>
    <row r="232" spans="1:21" s="8" customFormat="1" ht="40.5" customHeight="1" x14ac:dyDescent="0.25">
      <c r="A232" s="85"/>
      <c r="B232" s="86" t="s">
        <v>59</v>
      </c>
      <c r="C232" s="87" t="s">
        <v>60</v>
      </c>
      <c r="D232" s="85" t="s">
        <v>13</v>
      </c>
      <c r="E232" s="92">
        <v>26.2</v>
      </c>
      <c r="F232" s="89">
        <v>85000</v>
      </c>
      <c r="G232" s="247">
        <v>1.5</v>
      </c>
      <c r="H232" s="91">
        <f>ROUND(E232*F232*G232,-3)</f>
        <v>3341000</v>
      </c>
      <c r="I232" s="227">
        <f t="shared" si="27"/>
        <v>3341000</v>
      </c>
      <c r="J232" s="191"/>
      <c r="K232" s="192">
        <f>H232</f>
        <v>3341000</v>
      </c>
      <c r="L232" s="192"/>
      <c r="M232" s="192"/>
      <c r="N232" s="192"/>
      <c r="O232" s="192"/>
      <c r="P232" s="193"/>
      <c r="Q232" s="158"/>
      <c r="R232" s="158"/>
      <c r="S232" s="159"/>
      <c r="T232" s="159"/>
      <c r="U232" s="159"/>
    </row>
    <row r="233" spans="1:21" s="8" customFormat="1" ht="34.5" customHeight="1" x14ac:dyDescent="0.25">
      <c r="A233" s="85"/>
      <c r="B233" s="86" t="s">
        <v>58</v>
      </c>
      <c r="C233" s="87" t="s">
        <v>240</v>
      </c>
      <c r="D233" s="85" t="s">
        <v>13</v>
      </c>
      <c r="E233" s="92">
        <v>212.1</v>
      </c>
      <c r="F233" s="89">
        <f>F231*3</f>
        <v>225000</v>
      </c>
      <c r="G233" s="247">
        <v>1</v>
      </c>
      <c r="H233" s="91">
        <f>ROUND(E233*F233*G233,-3)</f>
        <v>47723000</v>
      </c>
      <c r="I233" s="227">
        <f t="shared" si="27"/>
        <v>47723000</v>
      </c>
      <c r="J233" s="191"/>
      <c r="K233" s="192"/>
      <c r="L233" s="213">
        <f>H233</f>
        <v>47723000</v>
      </c>
      <c r="M233" s="192"/>
      <c r="N233" s="192"/>
      <c r="O233" s="192"/>
      <c r="P233" s="193"/>
      <c r="Q233" s="158"/>
      <c r="R233" s="158"/>
      <c r="S233" s="159"/>
      <c r="T233" s="159"/>
      <c r="U233" s="159"/>
    </row>
    <row r="234" spans="1:21" s="8" customFormat="1" ht="34.5" customHeight="1" x14ac:dyDescent="0.25">
      <c r="A234" s="85"/>
      <c r="B234" s="86" t="s">
        <v>58</v>
      </c>
      <c r="C234" s="87" t="s">
        <v>60</v>
      </c>
      <c r="D234" s="85" t="s">
        <v>13</v>
      </c>
      <c r="E234" s="92">
        <v>26.2</v>
      </c>
      <c r="F234" s="89">
        <f>F232*3</f>
        <v>255000</v>
      </c>
      <c r="G234" s="247">
        <v>1</v>
      </c>
      <c r="H234" s="91">
        <f>ROUND(E234*F234*G234,-3)</f>
        <v>6681000</v>
      </c>
      <c r="I234" s="227">
        <f t="shared" si="27"/>
        <v>6681000</v>
      </c>
      <c r="J234" s="191"/>
      <c r="K234" s="192"/>
      <c r="L234" s="213">
        <f>H234</f>
        <v>6681000</v>
      </c>
      <c r="M234" s="192"/>
      <c r="N234" s="192"/>
      <c r="O234" s="192"/>
      <c r="P234" s="193"/>
      <c r="Q234" s="158"/>
      <c r="R234" s="158"/>
      <c r="S234" s="159"/>
      <c r="T234" s="159"/>
      <c r="U234" s="159"/>
    </row>
    <row r="235" spans="1:21" s="8" customFormat="1" ht="32.25" customHeight="1" x14ac:dyDescent="0.25">
      <c r="A235" s="85"/>
      <c r="B235" s="93" t="s">
        <v>392</v>
      </c>
      <c r="C235" s="94"/>
      <c r="D235" s="95" t="s">
        <v>13</v>
      </c>
      <c r="E235" s="96">
        <v>26.2</v>
      </c>
      <c r="F235" s="16">
        <f>2400000-85000*1.5-85000*3-0.3*(2400000-85000)</f>
        <v>1323000</v>
      </c>
      <c r="G235" s="17">
        <v>1</v>
      </c>
      <c r="H235" s="18">
        <f t="shared" ref="H235" si="29">ROUND(E235*F235*G235,-3)</f>
        <v>34663000</v>
      </c>
      <c r="I235" s="227">
        <f t="shared" si="27"/>
        <v>34663000</v>
      </c>
      <c r="J235" s="191">
        <f>E235*F235</f>
        <v>34662600</v>
      </c>
      <c r="K235" s="192"/>
      <c r="L235" s="192"/>
      <c r="M235" s="192">
        <f>H235</f>
        <v>34663000</v>
      </c>
      <c r="N235" s="192"/>
      <c r="O235" s="192"/>
      <c r="P235" s="193"/>
      <c r="Q235" s="158"/>
      <c r="R235" s="158"/>
      <c r="S235" s="159"/>
      <c r="T235" s="159"/>
      <c r="U235" s="159"/>
    </row>
    <row r="236" spans="1:21" s="239" customFormat="1" ht="30.75" customHeight="1" x14ac:dyDescent="0.25">
      <c r="A236" s="85"/>
      <c r="B236" s="234" t="s">
        <v>393</v>
      </c>
      <c r="C236" s="87"/>
      <c r="D236" s="85" t="s">
        <v>396</v>
      </c>
      <c r="E236" s="88">
        <v>3</v>
      </c>
      <c r="F236" s="89">
        <f>30*17000*5</f>
        <v>2550000</v>
      </c>
      <c r="G236" s="17">
        <v>1</v>
      </c>
      <c r="H236" s="91">
        <f>ROUND(E236*F236*G236,-3)</f>
        <v>7650000</v>
      </c>
      <c r="I236" s="227">
        <f t="shared" si="27"/>
        <v>7650000</v>
      </c>
      <c r="J236" s="240"/>
      <c r="K236" s="241"/>
      <c r="L236" s="241"/>
      <c r="M236" s="241"/>
      <c r="N236" s="241">
        <f>H236</f>
        <v>7650000</v>
      </c>
      <c r="O236" s="241"/>
      <c r="P236" s="242"/>
      <c r="Q236" s="172"/>
      <c r="R236" s="172"/>
      <c r="S236" s="238"/>
      <c r="T236" s="238"/>
      <c r="U236" s="238"/>
    </row>
    <row r="237" spans="1:21" s="3" customFormat="1" ht="39.6" customHeight="1" x14ac:dyDescent="0.25">
      <c r="A237" s="97" t="s">
        <v>12</v>
      </c>
      <c r="B237" s="432" t="s">
        <v>373</v>
      </c>
      <c r="C237" s="432"/>
      <c r="D237" s="432"/>
      <c r="E237" s="432"/>
      <c r="F237" s="432"/>
      <c r="G237" s="432"/>
      <c r="H237" s="82">
        <f>SUM(H238:H238)</f>
        <v>810000</v>
      </c>
      <c r="I237" s="227">
        <f t="shared" si="27"/>
        <v>0</v>
      </c>
      <c r="J237" s="174"/>
      <c r="K237" s="153"/>
      <c r="L237" s="153"/>
      <c r="M237" s="153"/>
      <c r="N237" s="153"/>
      <c r="O237" s="153">
        <f>H237</f>
        <v>810000</v>
      </c>
      <c r="P237" s="153"/>
      <c r="Q237" s="181"/>
      <c r="R237" s="181"/>
      <c r="S237" s="160"/>
      <c r="T237" s="160"/>
      <c r="U237" s="160"/>
    </row>
    <row r="238" spans="1:21" s="19" customFormat="1" ht="26.1" customHeight="1" x14ac:dyDescent="0.25">
      <c r="A238" s="31"/>
      <c r="B238" s="35" t="s">
        <v>63</v>
      </c>
      <c r="C238" s="36" t="s">
        <v>291</v>
      </c>
      <c r="D238" s="14" t="s">
        <v>13</v>
      </c>
      <c r="E238" s="37">
        <f>27*1.5</f>
        <v>40.5</v>
      </c>
      <c r="F238" s="38">
        <v>20000</v>
      </c>
      <c r="G238" s="249">
        <v>1</v>
      </c>
      <c r="H238" s="39">
        <f>ROUND(E238*F238*G238,-3)</f>
        <v>810000</v>
      </c>
      <c r="I238" s="227">
        <f t="shared" si="27"/>
        <v>810000</v>
      </c>
      <c r="J238" s="200"/>
      <c r="K238" s="161"/>
      <c r="L238" s="161"/>
      <c r="M238" s="161"/>
      <c r="N238" s="161"/>
      <c r="O238" s="161"/>
      <c r="P238" s="161"/>
      <c r="Q238" s="201"/>
      <c r="R238" s="201"/>
      <c r="S238" s="162"/>
      <c r="T238" s="162"/>
      <c r="U238" s="162"/>
    </row>
    <row r="239" spans="1:21" s="3" customFormat="1" ht="35.450000000000003" customHeight="1" x14ac:dyDescent="0.25">
      <c r="A239" s="97" t="s">
        <v>61</v>
      </c>
      <c r="B239" s="433" t="s">
        <v>372</v>
      </c>
      <c r="C239" s="433"/>
      <c r="D239" s="433"/>
      <c r="E239" s="433"/>
      <c r="F239" s="433"/>
      <c r="G239" s="433"/>
      <c r="H239" s="82">
        <f>H240+H247+H253+H254+H262+H267+H273</f>
        <v>74228000</v>
      </c>
      <c r="I239" s="227">
        <f t="shared" si="27"/>
        <v>0</v>
      </c>
      <c r="J239" s="174"/>
      <c r="K239" s="153"/>
      <c r="L239" s="153"/>
      <c r="M239" s="153"/>
      <c r="N239" s="153"/>
      <c r="O239" s="153"/>
      <c r="P239" s="153">
        <f>H239</f>
        <v>74228000</v>
      </c>
      <c r="Q239" s="181"/>
      <c r="R239" s="181"/>
      <c r="S239" s="160"/>
      <c r="T239" s="160"/>
      <c r="U239" s="160"/>
    </row>
    <row r="240" spans="1:21" s="6" customFormat="1" ht="27.75" customHeight="1" x14ac:dyDescent="0.25">
      <c r="A240" s="69">
        <v>1</v>
      </c>
      <c r="B240" s="434" t="s">
        <v>64</v>
      </c>
      <c r="C240" s="434"/>
      <c r="D240" s="434"/>
      <c r="E240" s="434"/>
      <c r="F240" s="434"/>
      <c r="G240" s="110"/>
      <c r="H240" s="29">
        <f>SUM(H241:H246)</f>
        <v>8258000</v>
      </c>
      <c r="I240" s="227">
        <f t="shared" si="27"/>
        <v>0</v>
      </c>
      <c r="J240" s="202"/>
      <c r="K240" s="202"/>
      <c r="L240" s="202"/>
      <c r="M240" s="202"/>
      <c r="N240" s="202"/>
      <c r="O240" s="203"/>
      <c r="P240" s="204"/>
      <c r="Q240" s="163"/>
      <c r="R240" s="163"/>
      <c r="S240" s="164"/>
      <c r="T240" s="164"/>
      <c r="U240" s="164"/>
    </row>
    <row r="241" spans="1:21" s="6" customFormat="1" ht="42.75" customHeight="1" x14ac:dyDescent="0.25">
      <c r="A241" s="40"/>
      <c r="B241" s="35" t="s">
        <v>25</v>
      </c>
      <c r="C241" s="41" t="s">
        <v>273</v>
      </c>
      <c r="D241" s="14" t="s">
        <v>14</v>
      </c>
      <c r="E241" s="42">
        <f>0.8*0.8*0.7*2</f>
        <v>0.89600000000000013</v>
      </c>
      <c r="F241" s="16">
        <v>386181</v>
      </c>
      <c r="G241" s="243">
        <v>1</v>
      </c>
      <c r="H241" s="43">
        <f t="shared" ref="H241:H252" si="30">ROUND(E241*F241*G241,-3)</f>
        <v>346000</v>
      </c>
      <c r="I241" s="227">
        <f t="shared" si="27"/>
        <v>346000</v>
      </c>
      <c r="J241" s="202"/>
      <c r="K241" s="202"/>
      <c r="L241" s="202"/>
      <c r="M241" s="202"/>
      <c r="N241" s="202"/>
      <c r="O241" s="203"/>
      <c r="P241" s="204"/>
      <c r="Q241" s="158"/>
      <c r="R241" s="158"/>
      <c r="S241" s="164"/>
      <c r="T241" s="164"/>
      <c r="U241" s="164"/>
    </row>
    <row r="242" spans="1:21" s="6" customFormat="1" ht="26.1" customHeight="1" x14ac:dyDescent="0.25">
      <c r="A242" s="40"/>
      <c r="B242" s="34" t="s">
        <v>42</v>
      </c>
      <c r="C242" s="41" t="s">
        <v>274</v>
      </c>
      <c r="D242" s="14" t="s">
        <v>14</v>
      </c>
      <c r="E242" s="42">
        <f>E241/3</f>
        <v>0.29866666666666669</v>
      </c>
      <c r="F242" s="16">
        <v>185275</v>
      </c>
      <c r="G242" s="243">
        <v>1</v>
      </c>
      <c r="H242" s="43">
        <f t="shared" si="30"/>
        <v>55000</v>
      </c>
      <c r="I242" s="227">
        <f t="shared" si="27"/>
        <v>55000</v>
      </c>
      <c r="J242" s="202"/>
      <c r="K242" s="202"/>
      <c r="L242" s="202"/>
      <c r="M242" s="202"/>
      <c r="N242" s="202"/>
      <c r="O242" s="203"/>
      <c r="P242" s="204"/>
      <c r="Q242" s="158"/>
      <c r="R242" s="158"/>
      <c r="S242" s="164"/>
      <c r="T242" s="164"/>
      <c r="U242" s="164"/>
    </row>
    <row r="243" spans="1:21" s="6" customFormat="1" ht="26.1" customHeight="1" x14ac:dyDescent="0.25">
      <c r="A243" s="40"/>
      <c r="B243" s="34" t="s">
        <v>65</v>
      </c>
      <c r="C243" s="41" t="s">
        <v>285</v>
      </c>
      <c r="D243" s="14" t="s">
        <v>14</v>
      </c>
      <c r="E243" s="42">
        <f>0.6*0.6*0.7*2</f>
        <v>0.504</v>
      </c>
      <c r="F243" s="16">
        <v>1869307</v>
      </c>
      <c r="G243" s="243">
        <v>1</v>
      </c>
      <c r="H243" s="43">
        <f t="shared" si="30"/>
        <v>942000</v>
      </c>
      <c r="I243" s="227">
        <f t="shared" si="27"/>
        <v>942000</v>
      </c>
      <c r="J243" s="202"/>
      <c r="K243" s="202"/>
      <c r="L243" s="202"/>
      <c r="M243" s="202"/>
      <c r="N243" s="202"/>
      <c r="O243" s="203"/>
      <c r="P243" s="204"/>
      <c r="Q243" s="158"/>
      <c r="R243" s="158"/>
      <c r="S243" s="164"/>
      <c r="T243" s="164"/>
      <c r="U243" s="164"/>
    </row>
    <row r="244" spans="1:21" s="6" customFormat="1" ht="40.5" customHeight="1" x14ac:dyDescent="0.25">
      <c r="A244" s="40"/>
      <c r="B244" s="35" t="s">
        <v>26</v>
      </c>
      <c r="C244" s="41" t="s">
        <v>276</v>
      </c>
      <c r="D244" s="14" t="s">
        <v>14</v>
      </c>
      <c r="E244" s="42">
        <f>0.5*0.5*2.6*2</f>
        <v>1.3</v>
      </c>
      <c r="F244" s="16">
        <v>2543957</v>
      </c>
      <c r="G244" s="243">
        <v>1</v>
      </c>
      <c r="H244" s="43">
        <f t="shared" si="30"/>
        <v>3307000</v>
      </c>
      <c r="I244" s="227">
        <f t="shared" si="27"/>
        <v>3307000</v>
      </c>
      <c r="J244" s="202"/>
      <c r="K244" s="202"/>
      <c r="L244" s="202"/>
      <c r="M244" s="202"/>
      <c r="N244" s="202"/>
      <c r="O244" s="203"/>
      <c r="P244" s="204"/>
      <c r="Q244" s="158"/>
      <c r="R244" s="158"/>
      <c r="S244" s="164"/>
      <c r="T244" s="164"/>
      <c r="U244" s="164"/>
    </row>
    <row r="245" spans="1:21" s="6" customFormat="1" ht="26.1" customHeight="1" x14ac:dyDescent="0.25">
      <c r="A245" s="40"/>
      <c r="B245" s="35" t="s">
        <v>28</v>
      </c>
      <c r="C245" s="41" t="s">
        <v>278</v>
      </c>
      <c r="D245" s="14" t="s">
        <v>13</v>
      </c>
      <c r="E245" s="42">
        <f>2.6*0.5*4*2</f>
        <v>10.4</v>
      </c>
      <c r="F245" s="16">
        <v>242854</v>
      </c>
      <c r="G245" s="243">
        <v>1</v>
      </c>
      <c r="H245" s="43">
        <f t="shared" si="30"/>
        <v>2526000</v>
      </c>
      <c r="I245" s="227">
        <f t="shared" si="27"/>
        <v>2526000</v>
      </c>
      <c r="J245" s="202"/>
      <c r="K245" s="202"/>
      <c r="L245" s="202"/>
      <c r="M245" s="202"/>
      <c r="N245" s="202"/>
      <c r="O245" s="203"/>
      <c r="P245" s="204"/>
      <c r="Q245" s="158"/>
      <c r="R245" s="158"/>
      <c r="S245" s="164"/>
      <c r="T245" s="164"/>
      <c r="U245" s="164"/>
    </row>
    <row r="246" spans="1:21" s="19" customFormat="1" ht="26.1" customHeight="1" x14ac:dyDescent="0.25">
      <c r="A246" s="31"/>
      <c r="B246" s="32" t="s">
        <v>45</v>
      </c>
      <c r="C246" s="33" t="s">
        <v>319</v>
      </c>
      <c r="D246" s="14" t="s">
        <v>13</v>
      </c>
      <c r="E246" s="15">
        <f>E245</f>
        <v>10.4</v>
      </c>
      <c r="F246" s="16">
        <v>103996</v>
      </c>
      <c r="G246" s="17">
        <v>1</v>
      </c>
      <c r="H246" s="18">
        <f t="shared" si="30"/>
        <v>1082000</v>
      </c>
      <c r="I246" s="227">
        <f t="shared" si="27"/>
        <v>1082000</v>
      </c>
      <c r="J246" s="200"/>
      <c r="K246" s="161"/>
      <c r="L246" s="161"/>
      <c r="M246" s="161"/>
      <c r="N246" s="161"/>
      <c r="O246" s="161"/>
      <c r="P246" s="161"/>
      <c r="Q246" s="201"/>
      <c r="R246" s="201"/>
      <c r="S246" s="162"/>
      <c r="T246" s="162"/>
      <c r="U246" s="162"/>
    </row>
    <row r="247" spans="1:21" s="6" customFormat="1" ht="35.25" customHeight="1" x14ac:dyDescent="0.25">
      <c r="A247" s="69">
        <v>2</v>
      </c>
      <c r="B247" s="435" t="s">
        <v>66</v>
      </c>
      <c r="C247" s="435"/>
      <c r="D247" s="435"/>
      <c r="E247" s="435"/>
      <c r="F247" s="435"/>
      <c r="G247" s="110"/>
      <c r="H247" s="29">
        <f>SUM(H248:H252)</f>
        <v>5689000</v>
      </c>
      <c r="I247" s="227">
        <f t="shared" si="27"/>
        <v>0</v>
      </c>
      <c r="J247" s="202"/>
      <c r="K247" s="202"/>
      <c r="L247" s="202"/>
      <c r="M247" s="202"/>
      <c r="N247" s="202"/>
      <c r="O247" s="203"/>
      <c r="P247" s="204"/>
      <c r="Q247" s="163"/>
      <c r="R247" s="163"/>
      <c r="S247" s="164"/>
      <c r="T247" s="164"/>
      <c r="U247" s="164"/>
    </row>
    <row r="248" spans="1:21" s="6" customFormat="1" ht="33.75" customHeight="1" x14ac:dyDescent="0.25">
      <c r="A248" s="40"/>
      <c r="B248" s="99" t="s">
        <v>29</v>
      </c>
      <c r="C248" s="41" t="s">
        <v>279</v>
      </c>
      <c r="D248" s="14" t="s">
        <v>14</v>
      </c>
      <c r="E248" s="42">
        <f>4*1.2*0.15</f>
        <v>0.72</v>
      </c>
      <c r="F248" s="16">
        <v>2687552</v>
      </c>
      <c r="G248" s="243">
        <v>1</v>
      </c>
      <c r="H248" s="43">
        <f t="shared" si="30"/>
        <v>1935000</v>
      </c>
      <c r="I248" s="227">
        <f t="shared" si="27"/>
        <v>1935000</v>
      </c>
      <c r="J248" s="202"/>
      <c r="K248" s="202"/>
      <c r="L248" s="202"/>
      <c r="M248" s="202"/>
      <c r="N248" s="202"/>
      <c r="O248" s="203"/>
      <c r="P248" s="204"/>
      <c r="Q248" s="158"/>
      <c r="R248" s="158"/>
      <c r="S248" s="164"/>
      <c r="T248" s="164"/>
      <c r="U248" s="164"/>
    </row>
    <row r="249" spans="1:21" s="6" customFormat="1" ht="42.75" customHeight="1" x14ac:dyDescent="0.25">
      <c r="A249" s="40"/>
      <c r="B249" s="100" t="s">
        <v>30</v>
      </c>
      <c r="C249" s="41" t="s">
        <v>280</v>
      </c>
      <c r="D249" s="14" t="s">
        <v>15</v>
      </c>
      <c r="E249" s="42">
        <f>((4*12)+(1.2*40))*0.395</f>
        <v>37.92</v>
      </c>
      <c r="F249" s="16">
        <v>26982</v>
      </c>
      <c r="G249" s="243">
        <v>1</v>
      </c>
      <c r="H249" s="43">
        <f t="shared" si="30"/>
        <v>1023000</v>
      </c>
      <c r="I249" s="227">
        <f t="shared" si="27"/>
        <v>1023000</v>
      </c>
      <c r="J249" s="202"/>
      <c r="K249" s="202"/>
      <c r="L249" s="202"/>
      <c r="M249" s="202"/>
      <c r="N249" s="202"/>
      <c r="O249" s="203"/>
      <c r="P249" s="204"/>
      <c r="Q249" s="158"/>
      <c r="R249" s="158"/>
      <c r="S249" s="164"/>
      <c r="T249" s="164"/>
      <c r="U249" s="164"/>
    </row>
    <row r="250" spans="1:21" s="6" customFormat="1" ht="41.25" customHeight="1" x14ac:dyDescent="0.25">
      <c r="A250" s="40"/>
      <c r="B250" s="100" t="s">
        <v>31</v>
      </c>
      <c r="C250" s="41" t="s">
        <v>281</v>
      </c>
      <c r="D250" s="14" t="s">
        <v>13</v>
      </c>
      <c r="E250" s="42">
        <f>(4*1.2)+(4+1.2)*2*0.15</f>
        <v>6.3599999999999994</v>
      </c>
      <c r="F250" s="16">
        <v>187964</v>
      </c>
      <c r="G250" s="243">
        <v>1</v>
      </c>
      <c r="H250" s="43">
        <f t="shared" si="30"/>
        <v>1195000</v>
      </c>
      <c r="I250" s="227">
        <f t="shared" si="27"/>
        <v>1195000</v>
      </c>
      <c r="J250" s="202"/>
      <c r="K250" s="202"/>
      <c r="L250" s="202"/>
      <c r="M250" s="202"/>
      <c r="N250" s="202"/>
      <c r="O250" s="203"/>
      <c r="P250" s="204"/>
      <c r="Q250" s="158"/>
      <c r="R250" s="158"/>
      <c r="S250" s="164"/>
      <c r="T250" s="164"/>
      <c r="U250" s="164"/>
    </row>
    <row r="251" spans="1:21" s="19" customFormat="1" ht="26.1" customHeight="1" x14ac:dyDescent="0.25">
      <c r="A251" s="31"/>
      <c r="B251" s="32" t="s">
        <v>45</v>
      </c>
      <c r="C251" s="33" t="s">
        <v>319</v>
      </c>
      <c r="D251" s="14" t="s">
        <v>13</v>
      </c>
      <c r="E251" s="15">
        <f>4*1.2</f>
        <v>4.8</v>
      </c>
      <c r="F251" s="16">
        <v>103996</v>
      </c>
      <c r="G251" s="17">
        <v>1</v>
      </c>
      <c r="H251" s="18">
        <f t="shared" si="30"/>
        <v>499000</v>
      </c>
      <c r="I251" s="227">
        <f t="shared" si="27"/>
        <v>499000</v>
      </c>
      <c r="J251" s="200"/>
      <c r="K251" s="161"/>
      <c r="L251" s="161"/>
      <c r="M251" s="161"/>
      <c r="N251" s="161"/>
      <c r="O251" s="161"/>
      <c r="P251" s="161"/>
      <c r="Q251" s="201"/>
      <c r="R251" s="201"/>
      <c r="S251" s="162"/>
      <c r="T251" s="162"/>
      <c r="U251" s="162"/>
    </row>
    <row r="252" spans="1:21" s="6" customFormat="1" ht="41.25" customHeight="1" x14ac:dyDescent="0.25">
      <c r="A252" s="40"/>
      <c r="B252" s="101" t="s">
        <v>55</v>
      </c>
      <c r="C252" s="41" t="s">
        <v>282</v>
      </c>
      <c r="D252" s="14" t="s">
        <v>34</v>
      </c>
      <c r="E252" s="42">
        <f>(4+1.2)*2</f>
        <v>10.4</v>
      </c>
      <c r="F252" s="16">
        <v>99700</v>
      </c>
      <c r="G252" s="243">
        <v>1</v>
      </c>
      <c r="H252" s="43">
        <f t="shared" si="30"/>
        <v>1037000</v>
      </c>
      <c r="I252" s="227">
        <f t="shared" si="27"/>
        <v>1037000</v>
      </c>
      <c r="J252" s="205"/>
      <c r="K252" s="205"/>
      <c r="L252" s="205"/>
      <c r="M252" s="205"/>
      <c r="N252" s="205"/>
      <c r="O252" s="164"/>
      <c r="P252" s="206"/>
      <c r="Q252" s="158"/>
      <c r="R252" s="158"/>
      <c r="S252" s="164"/>
      <c r="T252" s="164"/>
      <c r="U252" s="164"/>
    </row>
    <row r="253" spans="1:21" s="44" customFormat="1" ht="39.950000000000003" customHeight="1" x14ac:dyDescent="0.25">
      <c r="A253" s="69">
        <v>3</v>
      </c>
      <c r="B253" s="70" t="s">
        <v>67</v>
      </c>
      <c r="C253" s="71" t="s">
        <v>363</v>
      </c>
      <c r="D253" s="69" t="s">
        <v>13</v>
      </c>
      <c r="E253" s="72">
        <f>2.8*2.4</f>
        <v>6.72</v>
      </c>
      <c r="F253" s="73">
        <v>1307970</v>
      </c>
      <c r="G253" s="110">
        <v>1</v>
      </c>
      <c r="H253" s="29">
        <f>ROUND(E253*F253*G253,-3)</f>
        <v>8790000</v>
      </c>
      <c r="I253" s="227">
        <f t="shared" si="27"/>
        <v>8790000</v>
      </c>
      <c r="J253" s="207"/>
      <c r="K253" s="207"/>
      <c r="L253" s="207"/>
      <c r="M253" s="207"/>
      <c r="N253" s="207"/>
      <c r="O253" s="208"/>
      <c r="P253" s="208"/>
      <c r="Q253" s="165"/>
      <c r="R253" s="165"/>
      <c r="S253" s="166"/>
      <c r="T253" s="166"/>
      <c r="U253" s="166"/>
    </row>
    <row r="254" spans="1:21" s="10" customFormat="1" ht="39.6" customHeight="1" x14ac:dyDescent="0.25">
      <c r="A254" s="102">
        <v>4</v>
      </c>
      <c r="B254" s="435" t="s">
        <v>68</v>
      </c>
      <c r="C254" s="435"/>
      <c r="D254" s="435"/>
      <c r="E254" s="435"/>
      <c r="F254" s="435"/>
      <c r="G254" s="103"/>
      <c r="H254" s="104">
        <f>SUM(H255:H261)</f>
        <v>11527000</v>
      </c>
      <c r="I254" s="227">
        <f t="shared" si="27"/>
        <v>0</v>
      </c>
      <c r="J254" s="211"/>
      <c r="K254" s="169"/>
      <c r="L254" s="169"/>
      <c r="M254" s="169"/>
      <c r="N254" s="169"/>
      <c r="O254" s="169"/>
      <c r="P254" s="169"/>
      <c r="Q254" s="169"/>
      <c r="R254" s="169"/>
      <c r="S254" s="170"/>
      <c r="T254" s="170"/>
      <c r="U254" s="170"/>
    </row>
    <row r="255" spans="1:21" s="3" customFormat="1" ht="39.6" customHeight="1" x14ac:dyDescent="0.25">
      <c r="A255" s="31"/>
      <c r="B255" s="34" t="s">
        <v>41</v>
      </c>
      <c r="C255" s="33" t="s">
        <v>284</v>
      </c>
      <c r="D255" s="14" t="s">
        <v>14</v>
      </c>
      <c r="E255" s="15">
        <f>6.4*0.4*0.4*2</f>
        <v>2.0480000000000005</v>
      </c>
      <c r="F255" s="16">
        <v>266100</v>
      </c>
      <c r="G255" s="17">
        <v>1</v>
      </c>
      <c r="H255" s="18">
        <f t="shared" ref="H255:H261" si="31">ROUND(E255*F255*G255,-3)</f>
        <v>545000</v>
      </c>
      <c r="I255" s="227">
        <f t="shared" si="27"/>
        <v>545000</v>
      </c>
      <c r="J255" s="174"/>
      <c r="K255" s="153"/>
      <c r="L255" s="153"/>
      <c r="M255" s="153"/>
      <c r="N255" s="153"/>
      <c r="O255" s="153"/>
      <c r="P255" s="153"/>
      <c r="Q255" s="181"/>
      <c r="R255" s="181"/>
      <c r="S255" s="160"/>
      <c r="T255" s="160"/>
      <c r="U255" s="160"/>
    </row>
    <row r="256" spans="1:21" s="3" customFormat="1" ht="39.6" customHeight="1" x14ac:dyDescent="0.25">
      <c r="A256" s="31"/>
      <c r="B256" s="34" t="s">
        <v>42</v>
      </c>
      <c r="C256" s="33" t="s">
        <v>274</v>
      </c>
      <c r="D256" s="14" t="s">
        <v>14</v>
      </c>
      <c r="E256" s="15">
        <f>E255/3</f>
        <v>0.68266666666666687</v>
      </c>
      <c r="F256" s="16">
        <v>185275</v>
      </c>
      <c r="G256" s="17">
        <v>1</v>
      </c>
      <c r="H256" s="18">
        <f t="shared" si="31"/>
        <v>126000</v>
      </c>
      <c r="I256" s="227">
        <f t="shared" si="27"/>
        <v>126000</v>
      </c>
      <c r="J256" s="174"/>
      <c r="K256" s="153"/>
      <c r="L256" s="153"/>
      <c r="M256" s="153"/>
      <c r="N256" s="153"/>
      <c r="O256" s="153"/>
      <c r="P256" s="153"/>
      <c r="Q256" s="181"/>
      <c r="R256" s="181"/>
      <c r="S256" s="160"/>
      <c r="T256" s="160"/>
      <c r="U256" s="160"/>
    </row>
    <row r="257" spans="1:21" s="3" customFormat="1" ht="39.6" customHeight="1" x14ac:dyDescent="0.25">
      <c r="A257" s="31"/>
      <c r="B257" s="34" t="s">
        <v>43</v>
      </c>
      <c r="C257" s="33" t="s">
        <v>285</v>
      </c>
      <c r="D257" s="14" t="s">
        <v>14</v>
      </c>
      <c r="E257" s="15">
        <f>6.4*0.22*0.4*2</f>
        <v>1.1264000000000001</v>
      </c>
      <c r="F257" s="16">
        <v>1869307</v>
      </c>
      <c r="G257" s="17">
        <v>1</v>
      </c>
      <c r="H257" s="18">
        <f t="shared" si="31"/>
        <v>2106000</v>
      </c>
      <c r="I257" s="227">
        <f t="shared" si="27"/>
        <v>2106000</v>
      </c>
      <c r="J257" s="174"/>
      <c r="K257" s="153"/>
      <c r="L257" s="153"/>
      <c r="M257" s="153"/>
      <c r="N257" s="153"/>
      <c r="O257" s="153"/>
      <c r="P257" s="153"/>
      <c r="Q257" s="181"/>
      <c r="R257" s="181"/>
      <c r="S257" s="160"/>
      <c r="T257" s="160"/>
      <c r="U257" s="160"/>
    </row>
    <row r="258" spans="1:21" s="3" customFormat="1" ht="39.6" customHeight="1" x14ac:dyDescent="0.25">
      <c r="A258" s="31"/>
      <c r="B258" s="34" t="s">
        <v>44</v>
      </c>
      <c r="C258" s="33" t="s">
        <v>262</v>
      </c>
      <c r="D258" s="14" t="s">
        <v>14</v>
      </c>
      <c r="E258" s="15">
        <f>6.4*0.11*1.7*2</f>
        <v>2.3936000000000002</v>
      </c>
      <c r="F258" s="16">
        <v>2218558</v>
      </c>
      <c r="G258" s="17">
        <v>1</v>
      </c>
      <c r="H258" s="18">
        <f t="shared" si="31"/>
        <v>5310000</v>
      </c>
      <c r="I258" s="227">
        <f t="shared" si="27"/>
        <v>5310000</v>
      </c>
      <c r="J258" s="174"/>
      <c r="K258" s="153"/>
      <c r="L258" s="153"/>
      <c r="M258" s="153"/>
      <c r="N258" s="153"/>
      <c r="O258" s="153"/>
      <c r="P258" s="153"/>
      <c r="Q258" s="181"/>
      <c r="R258" s="181"/>
      <c r="S258" s="160"/>
      <c r="T258" s="160"/>
      <c r="U258" s="160"/>
    </row>
    <row r="259" spans="1:21" s="3" customFormat="1" ht="39.6" customHeight="1" x14ac:dyDescent="0.25">
      <c r="A259" s="31"/>
      <c r="B259" s="34" t="s">
        <v>69</v>
      </c>
      <c r="C259" s="33" t="s">
        <v>290</v>
      </c>
      <c r="D259" s="14" t="s">
        <v>14</v>
      </c>
      <c r="E259" s="15">
        <f>6.4*0.22*0.1*2</f>
        <v>0.28160000000000002</v>
      </c>
      <c r="F259" s="16">
        <v>2013297</v>
      </c>
      <c r="G259" s="17">
        <v>1</v>
      </c>
      <c r="H259" s="18">
        <f t="shared" si="31"/>
        <v>567000</v>
      </c>
      <c r="I259" s="227">
        <f t="shared" si="27"/>
        <v>567000</v>
      </c>
      <c r="J259" s="174"/>
      <c r="K259" s="153"/>
      <c r="L259" s="153"/>
      <c r="M259" s="153"/>
      <c r="N259" s="153"/>
      <c r="O259" s="153"/>
      <c r="P259" s="153"/>
      <c r="Q259" s="181"/>
      <c r="R259" s="181"/>
      <c r="S259" s="160"/>
      <c r="T259" s="160"/>
      <c r="U259" s="160"/>
    </row>
    <row r="260" spans="1:21" s="3" customFormat="1" ht="39.6" customHeight="1" x14ac:dyDescent="0.25">
      <c r="A260" s="31"/>
      <c r="B260" s="34" t="s">
        <v>47</v>
      </c>
      <c r="C260" s="33" t="s">
        <v>286</v>
      </c>
      <c r="D260" s="14" t="s">
        <v>13</v>
      </c>
      <c r="E260" s="15">
        <f>6.4*((0.6+0.1)*2+0.22)*2</f>
        <v>20.736000000000001</v>
      </c>
      <c r="F260" s="16">
        <v>122264</v>
      </c>
      <c r="G260" s="17">
        <v>1</v>
      </c>
      <c r="H260" s="18">
        <f t="shared" si="31"/>
        <v>2535000</v>
      </c>
      <c r="I260" s="227">
        <f t="shared" si="27"/>
        <v>2535000</v>
      </c>
      <c r="J260" s="174"/>
      <c r="K260" s="153"/>
      <c r="L260" s="153"/>
      <c r="M260" s="153"/>
      <c r="N260" s="153"/>
      <c r="O260" s="153"/>
      <c r="P260" s="153"/>
      <c r="Q260" s="181"/>
      <c r="R260" s="181"/>
      <c r="S260" s="160"/>
      <c r="T260" s="160"/>
      <c r="U260" s="160"/>
    </row>
    <row r="261" spans="1:21" s="44" customFormat="1" ht="29.45" customHeight="1" x14ac:dyDescent="0.25">
      <c r="A261" s="40"/>
      <c r="B261" s="34" t="s">
        <v>32</v>
      </c>
      <c r="C261" s="41" t="s">
        <v>277</v>
      </c>
      <c r="D261" s="14" t="s">
        <v>13</v>
      </c>
      <c r="E261" s="42">
        <f>E260</f>
        <v>20.736000000000001</v>
      </c>
      <c r="F261" s="16">
        <v>16279</v>
      </c>
      <c r="G261" s="243">
        <v>1</v>
      </c>
      <c r="H261" s="43">
        <f t="shared" si="31"/>
        <v>338000</v>
      </c>
      <c r="I261" s="227">
        <f t="shared" si="27"/>
        <v>338000</v>
      </c>
      <c r="J261" s="207"/>
      <c r="K261" s="207"/>
      <c r="L261" s="207"/>
      <c r="M261" s="207"/>
      <c r="N261" s="207"/>
      <c r="O261" s="208"/>
      <c r="P261" s="208"/>
      <c r="Q261" s="172"/>
      <c r="R261" s="172"/>
      <c r="S261" s="166"/>
      <c r="T261" s="166"/>
      <c r="U261" s="166"/>
    </row>
    <row r="262" spans="1:21" s="10" customFormat="1" ht="39.6" customHeight="1" x14ac:dyDescent="0.25">
      <c r="A262" s="102">
        <v>5</v>
      </c>
      <c r="B262" s="435" t="s">
        <v>71</v>
      </c>
      <c r="C262" s="435"/>
      <c r="D262" s="435"/>
      <c r="E262" s="435"/>
      <c r="F262" s="435"/>
      <c r="G262" s="103"/>
      <c r="H262" s="104">
        <f>SUM(H263:H266)</f>
        <v>1676000</v>
      </c>
      <c r="I262" s="227">
        <f t="shared" si="27"/>
        <v>0</v>
      </c>
      <c r="J262" s="211"/>
      <c r="K262" s="169"/>
      <c r="L262" s="169"/>
      <c r="M262" s="169"/>
      <c r="N262" s="169"/>
      <c r="O262" s="169"/>
      <c r="P262" s="169"/>
      <c r="Q262" s="169"/>
      <c r="R262" s="169"/>
      <c r="S262" s="170"/>
      <c r="T262" s="170"/>
      <c r="U262" s="170"/>
    </row>
    <row r="263" spans="1:21" s="3" customFormat="1" ht="39.6" customHeight="1" x14ac:dyDescent="0.25">
      <c r="A263" s="31"/>
      <c r="B263" s="34" t="s">
        <v>41</v>
      </c>
      <c r="C263" s="33" t="s">
        <v>284</v>
      </c>
      <c r="D263" s="14" t="s">
        <v>14</v>
      </c>
      <c r="E263" s="15">
        <f>1.5*0.4*0.4*2</f>
        <v>0.48000000000000009</v>
      </c>
      <c r="F263" s="16">
        <v>266100</v>
      </c>
      <c r="G263" s="17">
        <v>1</v>
      </c>
      <c r="H263" s="18">
        <f>ROUND(E263*F263*G263,-3)</f>
        <v>128000</v>
      </c>
      <c r="I263" s="227">
        <f t="shared" ref="I263:I326" si="32">ROUND(G263*F263*E263,-3)</f>
        <v>128000</v>
      </c>
      <c r="J263" s="174"/>
      <c r="K263" s="153"/>
      <c r="L263" s="153"/>
      <c r="M263" s="153"/>
      <c r="N263" s="153"/>
      <c r="O263" s="153"/>
      <c r="P263" s="153"/>
      <c r="Q263" s="181"/>
      <c r="R263" s="181"/>
      <c r="S263" s="160"/>
      <c r="T263" s="160"/>
      <c r="U263" s="160"/>
    </row>
    <row r="264" spans="1:21" s="3" customFormat="1" ht="39.6" customHeight="1" x14ac:dyDescent="0.25">
      <c r="A264" s="31"/>
      <c r="B264" s="34" t="s">
        <v>42</v>
      </c>
      <c r="C264" s="33" t="s">
        <v>274</v>
      </c>
      <c r="D264" s="14" t="s">
        <v>14</v>
      </c>
      <c r="E264" s="15">
        <f>E263/3</f>
        <v>0.16000000000000003</v>
      </c>
      <c r="F264" s="16">
        <v>185275</v>
      </c>
      <c r="G264" s="17">
        <v>1</v>
      </c>
      <c r="H264" s="18">
        <f>ROUND(E264*F264*G264,-3)</f>
        <v>30000</v>
      </c>
      <c r="I264" s="227">
        <f t="shared" si="32"/>
        <v>30000</v>
      </c>
      <c r="J264" s="174"/>
      <c r="K264" s="153"/>
      <c r="L264" s="153"/>
      <c r="M264" s="153"/>
      <c r="N264" s="153"/>
      <c r="O264" s="153"/>
      <c r="P264" s="153"/>
      <c r="Q264" s="181"/>
      <c r="R264" s="181"/>
      <c r="S264" s="160"/>
      <c r="T264" s="160"/>
      <c r="U264" s="160"/>
    </row>
    <row r="265" spans="1:21" s="3" customFormat="1" ht="39.6" customHeight="1" x14ac:dyDescent="0.25">
      <c r="A265" s="31"/>
      <c r="B265" s="34" t="s">
        <v>43</v>
      </c>
      <c r="C265" s="33" t="s">
        <v>285</v>
      </c>
      <c r="D265" s="14" t="s">
        <v>14</v>
      </c>
      <c r="E265" s="15">
        <f>1.5*0.22*0.4*2</f>
        <v>0.26400000000000001</v>
      </c>
      <c r="F265" s="16">
        <v>1869307</v>
      </c>
      <c r="G265" s="17">
        <v>1</v>
      </c>
      <c r="H265" s="18">
        <f>ROUND(E265*F265*G265,-3)</f>
        <v>493000</v>
      </c>
      <c r="I265" s="227">
        <f t="shared" si="32"/>
        <v>493000</v>
      </c>
      <c r="J265" s="174"/>
      <c r="K265" s="153"/>
      <c r="L265" s="153"/>
      <c r="M265" s="153"/>
      <c r="N265" s="153"/>
      <c r="O265" s="153"/>
      <c r="P265" s="153"/>
      <c r="Q265" s="181"/>
      <c r="R265" s="181"/>
      <c r="S265" s="160"/>
      <c r="T265" s="160"/>
      <c r="U265" s="160"/>
    </row>
    <row r="266" spans="1:21" s="3" customFormat="1" ht="39.6" customHeight="1" x14ac:dyDescent="0.25">
      <c r="A266" s="31"/>
      <c r="B266" s="34" t="s">
        <v>44</v>
      </c>
      <c r="C266" s="33" t="s">
        <v>262</v>
      </c>
      <c r="D266" s="14" t="s">
        <v>14</v>
      </c>
      <c r="E266" s="15">
        <f>1.5*0.11*1.4*2</f>
        <v>0.46199999999999997</v>
      </c>
      <c r="F266" s="16">
        <v>2218558</v>
      </c>
      <c r="G266" s="17">
        <v>1</v>
      </c>
      <c r="H266" s="18">
        <f>ROUND(E266*F266*G266,-3)</f>
        <v>1025000</v>
      </c>
      <c r="I266" s="227">
        <f t="shared" si="32"/>
        <v>1025000</v>
      </c>
      <c r="J266" s="174"/>
      <c r="K266" s="153"/>
      <c r="L266" s="153"/>
      <c r="M266" s="153"/>
      <c r="N266" s="153"/>
      <c r="O266" s="153"/>
      <c r="P266" s="153"/>
      <c r="Q266" s="181"/>
      <c r="R266" s="181"/>
      <c r="S266" s="160"/>
      <c r="T266" s="160"/>
      <c r="U266" s="160"/>
    </row>
    <row r="267" spans="1:21" s="10" customFormat="1" ht="39.6" customHeight="1" x14ac:dyDescent="0.25">
      <c r="A267" s="102">
        <v>6</v>
      </c>
      <c r="B267" s="435" t="s">
        <v>72</v>
      </c>
      <c r="C267" s="435"/>
      <c r="D267" s="435"/>
      <c r="E267" s="435"/>
      <c r="F267" s="435"/>
      <c r="G267" s="103"/>
      <c r="H267" s="104">
        <f>SUM(H268:H272)</f>
        <v>31221000</v>
      </c>
      <c r="I267" s="227">
        <f t="shared" si="32"/>
        <v>0</v>
      </c>
      <c r="J267" s="211"/>
      <c r="K267" s="169"/>
      <c r="L267" s="169"/>
      <c r="M267" s="169"/>
      <c r="N267" s="169"/>
      <c r="O267" s="169"/>
      <c r="P267" s="169"/>
      <c r="Q267" s="169"/>
      <c r="R267" s="169"/>
      <c r="S267" s="170"/>
      <c r="T267" s="170"/>
      <c r="U267" s="170"/>
    </row>
    <row r="268" spans="1:21" s="3" customFormat="1" ht="39.6" customHeight="1" x14ac:dyDescent="0.25">
      <c r="A268" s="31"/>
      <c r="B268" s="34" t="s">
        <v>41</v>
      </c>
      <c r="C268" s="33" t="s">
        <v>284</v>
      </c>
      <c r="D268" s="14" t="s">
        <v>14</v>
      </c>
      <c r="E268" s="15">
        <f>33.4*0.5*0.4</f>
        <v>6.68</v>
      </c>
      <c r="F268" s="16">
        <v>266100</v>
      </c>
      <c r="G268" s="17">
        <v>1</v>
      </c>
      <c r="H268" s="18">
        <f t="shared" ref="H268:H273" si="33">ROUND(E268*F268*G268,-3)</f>
        <v>1778000</v>
      </c>
      <c r="I268" s="227">
        <f t="shared" si="32"/>
        <v>1778000</v>
      </c>
      <c r="J268" s="174"/>
      <c r="K268" s="153"/>
      <c r="L268" s="153"/>
      <c r="M268" s="153"/>
      <c r="N268" s="153"/>
      <c r="O268" s="153"/>
      <c r="P268" s="153"/>
      <c r="Q268" s="181"/>
      <c r="R268" s="181"/>
      <c r="S268" s="160"/>
      <c r="T268" s="160"/>
      <c r="U268" s="160"/>
    </row>
    <row r="269" spans="1:21" s="3" customFormat="1" ht="39.6" customHeight="1" x14ac:dyDescent="0.25">
      <c r="A269" s="31"/>
      <c r="B269" s="34" t="s">
        <v>42</v>
      </c>
      <c r="C269" s="33" t="s">
        <v>274</v>
      </c>
      <c r="D269" s="14" t="s">
        <v>14</v>
      </c>
      <c r="E269" s="15">
        <f>E268/3</f>
        <v>2.2266666666666666</v>
      </c>
      <c r="F269" s="16">
        <v>185275</v>
      </c>
      <c r="G269" s="17">
        <v>1</v>
      </c>
      <c r="H269" s="18">
        <f t="shared" si="33"/>
        <v>413000</v>
      </c>
      <c r="I269" s="227">
        <f t="shared" si="32"/>
        <v>413000</v>
      </c>
      <c r="J269" s="174"/>
      <c r="K269" s="153"/>
      <c r="L269" s="153"/>
      <c r="M269" s="153"/>
      <c r="N269" s="153"/>
      <c r="O269" s="153"/>
      <c r="P269" s="153"/>
      <c r="Q269" s="181"/>
      <c r="R269" s="181"/>
      <c r="S269" s="160"/>
      <c r="T269" s="160"/>
      <c r="U269" s="160"/>
    </row>
    <row r="270" spans="1:21" s="3" customFormat="1" ht="39.6" customHeight="1" x14ac:dyDescent="0.25">
      <c r="A270" s="31"/>
      <c r="B270" s="34" t="s">
        <v>43</v>
      </c>
      <c r="C270" s="33" t="s">
        <v>285</v>
      </c>
      <c r="D270" s="14" t="s">
        <v>14</v>
      </c>
      <c r="E270" s="15">
        <f>33.4*0.33*0.4</f>
        <v>4.4088000000000003</v>
      </c>
      <c r="F270" s="16">
        <v>1869307</v>
      </c>
      <c r="G270" s="17">
        <v>1</v>
      </c>
      <c r="H270" s="18">
        <f t="shared" si="33"/>
        <v>8241000</v>
      </c>
      <c r="I270" s="227">
        <f t="shared" si="32"/>
        <v>8241000</v>
      </c>
      <c r="J270" s="174"/>
      <c r="K270" s="153"/>
      <c r="L270" s="153"/>
      <c r="M270" s="153"/>
      <c r="N270" s="153"/>
      <c r="O270" s="153"/>
      <c r="P270" s="153"/>
      <c r="Q270" s="181"/>
      <c r="R270" s="181"/>
      <c r="S270" s="160"/>
      <c r="T270" s="160"/>
      <c r="U270" s="160"/>
    </row>
    <row r="271" spans="1:21" s="3" customFormat="1" ht="39.6" customHeight="1" x14ac:dyDescent="0.25">
      <c r="A271" s="31"/>
      <c r="B271" s="34" t="s">
        <v>73</v>
      </c>
      <c r="C271" s="33" t="s">
        <v>292</v>
      </c>
      <c r="D271" s="14" t="s">
        <v>14</v>
      </c>
      <c r="E271" s="15">
        <f>33.4*0.22*1.1</f>
        <v>8.0828000000000007</v>
      </c>
      <c r="F271" s="16">
        <v>2016276</v>
      </c>
      <c r="G271" s="17">
        <v>1</v>
      </c>
      <c r="H271" s="18">
        <f t="shared" si="33"/>
        <v>16297000</v>
      </c>
      <c r="I271" s="227">
        <f t="shared" si="32"/>
        <v>16297000</v>
      </c>
      <c r="J271" s="174"/>
      <c r="K271" s="153"/>
      <c r="L271" s="153"/>
      <c r="M271" s="153"/>
      <c r="N271" s="153"/>
      <c r="O271" s="153"/>
      <c r="P271" s="153"/>
      <c r="Q271" s="181"/>
      <c r="R271" s="181"/>
      <c r="S271" s="160"/>
      <c r="T271" s="160"/>
      <c r="U271" s="160"/>
    </row>
    <row r="272" spans="1:21" s="3" customFormat="1" ht="39.6" customHeight="1" x14ac:dyDescent="0.25">
      <c r="A272" s="31"/>
      <c r="B272" s="34" t="s">
        <v>47</v>
      </c>
      <c r="C272" s="33" t="s">
        <v>286</v>
      </c>
      <c r="D272" s="14" t="s">
        <v>13</v>
      </c>
      <c r="E272" s="15">
        <f>33.4*1.1</f>
        <v>36.74</v>
      </c>
      <c r="F272" s="16">
        <v>122264</v>
      </c>
      <c r="G272" s="17">
        <v>1</v>
      </c>
      <c r="H272" s="18">
        <f t="shared" si="33"/>
        <v>4492000</v>
      </c>
      <c r="I272" s="227">
        <f t="shared" si="32"/>
        <v>4492000</v>
      </c>
      <c r="J272" s="174"/>
      <c r="K272" s="153"/>
      <c r="L272" s="153"/>
      <c r="M272" s="153"/>
      <c r="N272" s="153"/>
      <c r="O272" s="153"/>
      <c r="P272" s="153"/>
      <c r="Q272" s="181"/>
      <c r="R272" s="181"/>
      <c r="S272" s="160"/>
      <c r="T272" s="160"/>
      <c r="U272" s="160"/>
    </row>
    <row r="273" spans="1:21" s="44" customFormat="1" ht="25.9" customHeight="1" x14ac:dyDescent="0.25">
      <c r="A273" s="45">
        <v>7</v>
      </c>
      <c r="B273" s="46" t="s">
        <v>74</v>
      </c>
      <c r="C273" s="33" t="s">
        <v>298</v>
      </c>
      <c r="D273" s="14" t="s">
        <v>13</v>
      </c>
      <c r="E273" s="15">
        <f>8*2.8</f>
        <v>22.4</v>
      </c>
      <c r="F273" s="16">
        <v>315499</v>
      </c>
      <c r="G273" s="17">
        <v>1</v>
      </c>
      <c r="H273" s="18">
        <f t="shared" si="33"/>
        <v>7067000</v>
      </c>
      <c r="I273" s="227">
        <f t="shared" si="32"/>
        <v>7067000</v>
      </c>
      <c r="J273" s="214"/>
      <c r="K273" s="173"/>
      <c r="L273" s="173"/>
      <c r="M273" s="173"/>
      <c r="N273" s="173"/>
      <c r="O273" s="173"/>
      <c r="P273" s="173"/>
      <c r="Q273" s="215"/>
      <c r="R273" s="215"/>
      <c r="S273" s="166"/>
      <c r="T273" s="166"/>
      <c r="U273" s="166"/>
    </row>
    <row r="274" spans="1:21" s="44" customFormat="1" ht="58.5" customHeight="1" x14ac:dyDescent="0.25">
      <c r="A274" s="81" t="s">
        <v>236</v>
      </c>
      <c r="B274" s="148" t="s">
        <v>402</v>
      </c>
      <c r="C274" s="149"/>
      <c r="D274" s="40" t="s">
        <v>13</v>
      </c>
      <c r="E274" s="118">
        <f>212.1+26.2</f>
        <v>238.29999999999998</v>
      </c>
      <c r="F274" s="126">
        <v>30000</v>
      </c>
      <c r="G274" s="150">
        <v>1</v>
      </c>
      <c r="H274" s="82">
        <f>E274*F274</f>
        <v>7148999.9999999991</v>
      </c>
      <c r="I274" s="227">
        <f t="shared" si="32"/>
        <v>7149000</v>
      </c>
      <c r="J274" s="214"/>
      <c r="K274" s="173"/>
      <c r="L274" s="173"/>
      <c r="M274" s="173"/>
      <c r="N274" s="173"/>
      <c r="O274" s="173"/>
      <c r="P274" s="173"/>
      <c r="Q274" s="215"/>
      <c r="R274" s="215"/>
      <c r="S274" s="173">
        <f>H274</f>
        <v>7148999.9999999991</v>
      </c>
      <c r="T274" s="166"/>
      <c r="U274" s="166"/>
    </row>
    <row r="275" spans="1:21" s="4" customFormat="1" ht="34.15" customHeight="1" x14ac:dyDescent="0.25">
      <c r="A275" s="81" t="s">
        <v>84</v>
      </c>
      <c r="B275" s="440" t="s">
        <v>76</v>
      </c>
      <c r="C275" s="440"/>
      <c r="D275" s="440"/>
      <c r="E275" s="440"/>
      <c r="F275" s="440"/>
      <c r="G275" s="440"/>
      <c r="H275" s="82">
        <f>H280+H288+H276+H299</f>
        <v>76239000</v>
      </c>
      <c r="I275" s="227">
        <f t="shared" si="32"/>
        <v>0</v>
      </c>
      <c r="J275" s="174">
        <f>H275-I275</f>
        <v>76239000</v>
      </c>
      <c r="K275" s="153"/>
      <c r="L275" s="153"/>
      <c r="M275" s="153"/>
      <c r="N275" s="153"/>
      <c r="O275" s="153"/>
      <c r="P275" s="153"/>
      <c r="Q275" s="188"/>
      <c r="R275" s="188"/>
      <c r="S275" s="155"/>
      <c r="T275" s="155"/>
      <c r="U275" s="155"/>
    </row>
    <row r="276" spans="1:21" s="9" customFormat="1" ht="66" customHeight="1" x14ac:dyDescent="0.25">
      <c r="A276" s="83" t="s">
        <v>11</v>
      </c>
      <c r="B276" s="446" t="s">
        <v>404</v>
      </c>
      <c r="C276" s="446"/>
      <c r="D276" s="446"/>
      <c r="E276" s="446"/>
      <c r="F276" s="446"/>
      <c r="G276" s="246"/>
      <c r="H276" s="84">
        <f>SUM(H277:H279)</f>
        <v>42000000</v>
      </c>
      <c r="I276" s="227">
        <f t="shared" si="32"/>
        <v>0</v>
      </c>
      <c r="J276" s="189"/>
      <c r="K276" s="175">
        <f>H277</f>
        <v>8970000</v>
      </c>
      <c r="L276" s="175"/>
      <c r="M276" s="175"/>
      <c r="N276" s="175"/>
      <c r="O276" s="175"/>
      <c r="P276" s="190"/>
      <c r="Q276" s="156"/>
      <c r="R276" s="156"/>
      <c r="S276" s="157"/>
      <c r="T276" s="157"/>
      <c r="U276" s="157"/>
    </row>
    <row r="277" spans="1:21" s="8" customFormat="1" ht="26.1" customHeight="1" x14ac:dyDescent="0.25">
      <c r="A277" s="85"/>
      <c r="B277" s="86" t="s">
        <v>239</v>
      </c>
      <c r="C277" s="87" t="s">
        <v>240</v>
      </c>
      <c r="D277" s="85" t="s">
        <v>13</v>
      </c>
      <c r="E277" s="92">
        <v>119.6</v>
      </c>
      <c r="F277" s="89">
        <v>75000</v>
      </c>
      <c r="G277" s="247">
        <v>1</v>
      </c>
      <c r="H277" s="91">
        <f>ROUND(E277*F277*G277,-3)</f>
        <v>8970000</v>
      </c>
      <c r="I277" s="227">
        <f t="shared" si="32"/>
        <v>8970000</v>
      </c>
      <c r="J277" s="191"/>
      <c r="K277" s="192"/>
      <c r="L277" s="192"/>
      <c r="M277" s="192"/>
      <c r="N277" s="192"/>
      <c r="O277" s="192"/>
      <c r="P277" s="193"/>
      <c r="Q277" s="158"/>
      <c r="R277" s="158"/>
      <c r="S277" s="159"/>
      <c r="T277" s="159"/>
      <c r="U277" s="159"/>
    </row>
    <row r="278" spans="1:21" s="8" customFormat="1" ht="40.5" customHeight="1" x14ac:dyDescent="0.25">
      <c r="A278" s="85"/>
      <c r="B278" s="86" t="s">
        <v>58</v>
      </c>
      <c r="C278" s="87"/>
      <c r="D278" s="85" t="s">
        <v>13</v>
      </c>
      <c r="E278" s="92">
        <v>119.6</v>
      </c>
      <c r="F278" s="89">
        <f>F277*3</f>
        <v>225000</v>
      </c>
      <c r="G278" s="247">
        <v>1</v>
      </c>
      <c r="H278" s="91">
        <f>ROUND(E278*F278*G278,-3)</f>
        <v>26910000</v>
      </c>
      <c r="I278" s="227">
        <f t="shared" si="32"/>
        <v>26910000</v>
      </c>
      <c r="J278" s="191"/>
      <c r="K278" s="192"/>
      <c r="L278" s="192">
        <f>H278</f>
        <v>26910000</v>
      </c>
      <c r="M278" s="192"/>
      <c r="N278" s="192"/>
      <c r="O278" s="192"/>
      <c r="P278" s="193"/>
      <c r="Q278" s="158"/>
      <c r="R278" s="158"/>
      <c r="S278" s="159"/>
      <c r="T278" s="159"/>
      <c r="U278" s="159"/>
    </row>
    <row r="279" spans="1:21" s="239" customFormat="1" ht="37.5" customHeight="1" x14ac:dyDescent="0.25">
      <c r="A279" s="85"/>
      <c r="B279" s="234" t="s">
        <v>393</v>
      </c>
      <c r="C279" s="90"/>
      <c r="D279" s="85" t="s">
        <v>396</v>
      </c>
      <c r="E279" s="88">
        <v>4</v>
      </c>
      <c r="F279" s="89">
        <f>30*17000*3</f>
        <v>1530000</v>
      </c>
      <c r="G279" s="247">
        <v>1</v>
      </c>
      <c r="H279" s="91">
        <f>ROUND(E279*F279*G279,-3)</f>
        <v>6120000</v>
      </c>
      <c r="I279" s="227">
        <f t="shared" si="32"/>
        <v>6120000</v>
      </c>
      <c r="J279" s="240"/>
      <c r="K279" s="241"/>
      <c r="L279" s="241"/>
      <c r="M279" s="241"/>
      <c r="N279" s="241">
        <f>H279</f>
        <v>6120000</v>
      </c>
      <c r="O279" s="241"/>
      <c r="P279" s="242"/>
      <c r="Q279" s="172"/>
      <c r="R279" s="172"/>
      <c r="S279" s="238"/>
      <c r="T279" s="238"/>
      <c r="U279" s="238"/>
    </row>
    <row r="280" spans="1:21" s="3" customFormat="1" ht="39.6" customHeight="1" x14ac:dyDescent="0.25">
      <c r="A280" s="97" t="s">
        <v>12</v>
      </c>
      <c r="B280" s="432" t="s">
        <v>373</v>
      </c>
      <c r="C280" s="432"/>
      <c r="D280" s="432"/>
      <c r="E280" s="432"/>
      <c r="F280" s="432"/>
      <c r="G280" s="432"/>
      <c r="H280" s="82">
        <f>SUM(H281:H287)</f>
        <v>7200000</v>
      </c>
      <c r="I280" s="227">
        <f t="shared" si="32"/>
        <v>0</v>
      </c>
      <c r="J280" s="174"/>
      <c r="K280" s="153"/>
      <c r="L280" s="153"/>
      <c r="M280" s="153"/>
      <c r="N280" s="153"/>
      <c r="O280" s="153">
        <f>H280</f>
        <v>7200000</v>
      </c>
      <c r="P280" s="153"/>
      <c r="Q280" s="181"/>
      <c r="R280" s="181"/>
      <c r="S280" s="160"/>
      <c r="T280" s="160"/>
      <c r="U280" s="160"/>
    </row>
    <row r="281" spans="1:21" s="3" customFormat="1" ht="26.1" customHeight="1" x14ac:dyDescent="0.25">
      <c r="A281" s="31"/>
      <c r="B281" s="35" t="s">
        <v>321</v>
      </c>
      <c r="C281" s="36" t="s">
        <v>293</v>
      </c>
      <c r="D281" s="14" t="s">
        <v>16</v>
      </c>
      <c r="E281" s="37">
        <v>1</v>
      </c>
      <c r="F281" s="38">
        <v>4500000</v>
      </c>
      <c r="G281" s="249">
        <v>1</v>
      </c>
      <c r="H281" s="39">
        <f>ROUND(E281*F281*G281,-3)</f>
        <v>4500000</v>
      </c>
      <c r="I281" s="227">
        <f t="shared" si="32"/>
        <v>4500000</v>
      </c>
      <c r="J281" s="174"/>
      <c r="K281" s="153"/>
      <c r="L281" s="153"/>
      <c r="M281" s="153"/>
      <c r="N281" s="153"/>
      <c r="O281" s="153"/>
      <c r="P281" s="153"/>
      <c r="Q281" s="181"/>
      <c r="R281" s="181"/>
      <c r="S281" s="160"/>
      <c r="T281" s="160"/>
      <c r="U281" s="160"/>
    </row>
    <row r="282" spans="1:21" s="3" customFormat="1" ht="26.1" customHeight="1" x14ac:dyDescent="0.25">
      <c r="A282" s="31"/>
      <c r="B282" s="35" t="s">
        <v>322</v>
      </c>
      <c r="C282" s="36" t="s">
        <v>294</v>
      </c>
      <c r="D282" s="14" t="s">
        <v>16</v>
      </c>
      <c r="E282" s="37">
        <v>1</v>
      </c>
      <c r="F282" s="38">
        <v>800000</v>
      </c>
      <c r="G282" s="249">
        <v>1</v>
      </c>
      <c r="H282" s="39">
        <f t="shared" ref="H282:H287" si="34">ROUND(E282*F282*G282,-3)</f>
        <v>800000</v>
      </c>
      <c r="I282" s="227">
        <f t="shared" si="32"/>
        <v>800000</v>
      </c>
      <c r="J282" s="174"/>
      <c r="K282" s="153"/>
      <c r="L282" s="153"/>
      <c r="M282" s="153"/>
      <c r="N282" s="153"/>
      <c r="O282" s="153"/>
      <c r="P282" s="153"/>
      <c r="Q282" s="181"/>
      <c r="R282" s="181"/>
      <c r="S282" s="160"/>
      <c r="T282" s="160"/>
      <c r="U282" s="160"/>
    </row>
    <row r="283" spans="1:21" s="3" customFormat="1" ht="26.1" customHeight="1" x14ac:dyDescent="0.25">
      <c r="A283" s="31"/>
      <c r="B283" s="35" t="s">
        <v>77</v>
      </c>
      <c r="C283" s="36" t="s">
        <v>295</v>
      </c>
      <c r="D283" s="14" t="s">
        <v>16</v>
      </c>
      <c r="E283" s="37">
        <v>1</v>
      </c>
      <c r="F283" s="38">
        <v>50000</v>
      </c>
      <c r="G283" s="249">
        <v>1</v>
      </c>
      <c r="H283" s="39">
        <f t="shared" si="34"/>
        <v>50000</v>
      </c>
      <c r="I283" s="227">
        <f t="shared" si="32"/>
        <v>50000</v>
      </c>
      <c r="J283" s="174"/>
      <c r="K283" s="153"/>
      <c r="L283" s="153"/>
      <c r="M283" s="153"/>
      <c r="N283" s="153"/>
      <c r="O283" s="153"/>
      <c r="P283" s="153"/>
      <c r="Q283" s="181"/>
      <c r="R283" s="181"/>
      <c r="S283" s="160"/>
      <c r="T283" s="160"/>
      <c r="U283" s="160"/>
    </row>
    <row r="284" spans="1:21" s="3" customFormat="1" ht="26.1" customHeight="1" x14ac:dyDescent="0.25">
      <c r="A284" s="31"/>
      <c r="B284" s="35" t="s">
        <v>78</v>
      </c>
      <c r="C284" s="36" t="s">
        <v>295</v>
      </c>
      <c r="D284" s="14" t="s">
        <v>16</v>
      </c>
      <c r="E284" s="37">
        <v>2</v>
      </c>
      <c r="F284" s="38">
        <v>100000</v>
      </c>
      <c r="G284" s="249">
        <v>1</v>
      </c>
      <c r="H284" s="39">
        <f t="shared" si="34"/>
        <v>200000</v>
      </c>
      <c r="I284" s="227">
        <f t="shared" si="32"/>
        <v>200000</v>
      </c>
      <c r="J284" s="174"/>
      <c r="K284" s="153"/>
      <c r="L284" s="153"/>
      <c r="M284" s="153"/>
      <c r="N284" s="153"/>
      <c r="O284" s="153"/>
      <c r="P284" s="153"/>
      <c r="Q284" s="181"/>
      <c r="R284" s="181"/>
      <c r="S284" s="160"/>
      <c r="T284" s="160"/>
      <c r="U284" s="160"/>
    </row>
    <row r="285" spans="1:21" s="3" customFormat="1" ht="26.1" customHeight="1" x14ac:dyDescent="0.25">
      <c r="A285" s="31"/>
      <c r="B285" s="35" t="s">
        <v>323</v>
      </c>
      <c r="C285" s="36" t="s">
        <v>296</v>
      </c>
      <c r="D285" s="14" t="s">
        <v>16</v>
      </c>
      <c r="E285" s="37">
        <v>1</v>
      </c>
      <c r="F285" s="38">
        <v>200000</v>
      </c>
      <c r="G285" s="249">
        <v>1</v>
      </c>
      <c r="H285" s="39">
        <f t="shared" si="34"/>
        <v>200000</v>
      </c>
      <c r="I285" s="227">
        <f t="shared" si="32"/>
        <v>200000</v>
      </c>
      <c r="J285" s="174"/>
      <c r="K285" s="153"/>
      <c r="L285" s="153"/>
      <c r="M285" s="153"/>
      <c r="N285" s="153"/>
      <c r="O285" s="153"/>
      <c r="P285" s="153"/>
      <c r="Q285" s="181"/>
      <c r="R285" s="181"/>
      <c r="S285" s="160"/>
      <c r="T285" s="160"/>
      <c r="U285" s="160"/>
    </row>
    <row r="286" spans="1:21" s="3" customFormat="1" ht="26.1" customHeight="1" x14ac:dyDescent="0.25">
      <c r="A286" s="31"/>
      <c r="B286" s="35" t="s">
        <v>79</v>
      </c>
      <c r="C286" s="36" t="s">
        <v>291</v>
      </c>
      <c r="D286" s="14" t="s">
        <v>13</v>
      </c>
      <c r="E286" s="37">
        <f>15*1.5</f>
        <v>22.5</v>
      </c>
      <c r="F286" s="38">
        <v>20000</v>
      </c>
      <c r="G286" s="249">
        <v>1</v>
      </c>
      <c r="H286" s="39">
        <f t="shared" si="34"/>
        <v>450000</v>
      </c>
      <c r="I286" s="227">
        <f t="shared" si="32"/>
        <v>450000</v>
      </c>
      <c r="J286" s="174"/>
      <c r="K286" s="153"/>
      <c r="L286" s="153"/>
      <c r="M286" s="153"/>
      <c r="N286" s="153"/>
      <c r="O286" s="153"/>
      <c r="P286" s="153"/>
      <c r="Q286" s="181"/>
      <c r="R286" s="181"/>
      <c r="S286" s="160"/>
      <c r="T286" s="160"/>
      <c r="U286" s="160"/>
    </row>
    <row r="287" spans="1:21" s="3" customFormat="1" ht="26.1" customHeight="1" x14ac:dyDescent="0.25">
      <c r="A287" s="31"/>
      <c r="B287" s="35" t="s">
        <v>81</v>
      </c>
      <c r="C287" s="36" t="s">
        <v>297</v>
      </c>
      <c r="D287" s="14" t="s">
        <v>80</v>
      </c>
      <c r="E287" s="37">
        <v>10</v>
      </c>
      <c r="F287" s="38">
        <v>100000</v>
      </c>
      <c r="G287" s="249">
        <v>1</v>
      </c>
      <c r="H287" s="39">
        <f t="shared" si="34"/>
        <v>1000000</v>
      </c>
      <c r="I287" s="227">
        <f t="shared" si="32"/>
        <v>1000000</v>
      </c>
      <c r="J287" s="174"/>
      <c r="K287" s="153"/>
      <c r="L287" s="153"/>
      <c r="M287" s="153"/>
      <c r="N287" s="153"/>
      <c r="O287" s="153"/>
      <c r="P287" s="153"/>
      <c r="Q287" s="181"/>
      <c r="R287" s="181"/>
      <c r="S287" s="160"/>
      <c r="T287" s="160"/>
      <c r="U287" s="160"/>
    </row>
    <row r="288" spans="1:21" s="3" customFormat="1" ht="42" customHeight="1" x14ac:dyDescent="0.25">
      <c r="A288" s="97" t="s">
        <v>61</v>
      </c>
      <c r="B288" s="433" t="s">
        <v>372</v>
      </c>
      <c r="C288" s="433"/>
      <c r="D288" s="433"/>
      <c r="E288" s="433"/>
      <c r="F288" s="433"/>
      <c r="G288" s="433"/>
      <c r="H288" s="82">
        <f>H289+H295+H296</f>
        <v>23451000</v>
      </c>
      <c r="I288" s="227">
        <f t="shared" si="32"/>
        <v>0</v>
      </c>
      <c r="J288" s="174"/>
      <c r="K288" s="153"/>
      <c r="L288" s="153"/>
      <c r="M288" s="153"/>
      <c r="N288" s="153"/>
      <c r="O288" s="153"/>
      <c r="P288" s="153">
        <f>H288</f>
        <v>23451000</v>
      </c>
      <c r="Q288" s="181"/>
      <c r="R288" s="181"/>
      <c r="S288" s="160"/>
      <c r="T288" s="160"/>
      <c r="U288" s="160"/>
    </row>
    <row r="289" spans="1:21" s="10" customFormat="1" ht="39.6" customHeight="1" x14ac:dyDescent="0.25">
      <c r="A289" s="102">
        <v>1</v>
      </c>
      <c r="B289" s="435" t="s">
        <v>82</v>
      </c>
      <c r="C289" s="435"/>
      <c r="D289" s="435"/>
      <c r="E289" s="435"/>
      <c r="F289" s="435"/>
      <c r="G289" s="103"/>
      <c r="H289" s="104">
        <f>SUM(H290:H294)</f>
        <v>19256000</v>
      </c>
      <c r="I289" s="227">
        <f t="shared" si="32"/>
        <v>0</v>
      </c>
      <c r="J289" s="211"/>
      <c r="K289" s="169"/>
      <c r="L289" s="169"/>
      <c r="M289" s="169"/>
      <c r="N289" s="169"/>
      <c r="O289" s="169"/>
      <c r="P289" s="169"/>
      <c r="Q289" s="169"/>
      <c r="R289" s="169"/>
      <c r="S289" s="170"/>
      <c r="T289" s="170"/>
      <c r="U289" s="170"/>
    </row>
    <row r="290" spans="1:21" s="3" customFormat="1" ht="39.6" customHeight="1" x14ac:dyDescent="0.25">
      <c r="A290" s="31"/>
      <c r="B290" s="34" t="s">
        <v>41</v>
      </c>
      <c r="C290" s="33" t="s">
        <v>284</v>
      </c>
      <c r="D290" s="14" t="s">
        <v>14</v>
      </c>
      <c r="E290" s="15">
        <f>20.6*0.5*0.4</f>
        <v>4.12</v>
      </c>
      <c r="F290" s="16">
        <v>266100</v>
      </c>
      <c r="G290" s="17">
        <v>1</v>
      </c>
      <c r="H290" s="18">
        <f t="shared" ref="H290:H295" si="35">ROUND(E290*F290*G290,-3)</f>
        <v>1096000</v>
      </c>
      <c r="I290" s="227">
        <f t="shared" si="32"/>
        <v>1096000</v>
      </c>
      <c r="J290" s="174"/>
      <c r="K290" s="153"/>
      <c r="L290" s="153"/>
      <c r="M290" s="153"/>
      <c r="N290" s="153"/>
      <c r="O290" s="153"/>
      <c r="P290" s="153"/>
      <c r="Q290" s="181"/>
      <c r="R290" s="181"/>
      <c r="S290" s="160"/>
      <c r="T290" s="160"/>
      <c r="U290" s="160"/>
    </row>
    <row r="291" spans="1:21" s="3" customFormat="1" ht="35.25" customHeight="1" x14ac:dyDescent="0.25">
      <c r="A291" s="31"/>
      <c r="B291" s="34" t="s">
        <v>42</v>
      </c>
      <c r="C291" s="33" t="s">
        <v>274</v>
      </c>
      <c r="D291" s="14" t="s">
        <v>14</v>
      </c>
      <c r="E291" s="15">
        <f>E290/3</f>
        <v>1.3733333333333333</v>
      </c>
      <c r="F291" s="16">
        <v>185275</v>
      </c>
      <c r="G291" s="17">
        <v>1</v>
      </c>
      <c r="H291" s="18">
        <f t="shared" si="35"/>
        <v>254000</v>
      </c>
      <c r="I291" s="227">
        <f t="shared" si="32"/>
        <v>254000</v>
      </c>
      <c r="J291" s="174"/>
      <c r="K291" s="153"/>
      <c r="L291" s="153"/>
      <c r="M291" s="153"/>
      <c r="N291" s="153"/>
      <c r="O291" s="153"/>
      <c r="P291" s="153"/>
      <c r="Q291" s="181"/>
      <c r="R291" s="181"/>
      <c r="S291" s="160"/>
      <c r="T291" s="160"/>
      <c r="U291" s="160"/>
    </row>
    <row r="292" spans="1:21" s="3" customFormat="1" ht="34.5" customHeight="1" x14ac:dyDescent="0.25">
      <c r="A292" s="31"/>
      <c r="B292" s="34" t="s">
        <v>43</v>
      </c>
      <c r="C292" s="33" t="s">
        <v>285</v>
      </c>
      <c r="D292" s="14" t="s">
        <v>14</v>
      </c>
      <c r="E292" s="15">
        <f>20.6*0.33*0.4</f>
        <v>2.7192000000000007</v>
      </c>
      <c r="F292" s="16">
        <v>1869307</v>
      </c>
      <c r="G292" s="17">
        <v>1</v>
      </c>
      <c r="H292" s="18">
        <f t="shared" si="35"/>
        <v>5083000</v>
      </c>
      <c r="I292" s="227">
        <f t="shared" si="32"/>
        <v>5083000</v>
      </c>
      <c r="J292" s="174"/>
      <c r="K292" s="153"/>
      <c r="L292" s="153"/>
      <c r="M292" s="153"/>
      <c r="N292" s="153"/>
      <c r="O292" s="153"/>
      <c r="P292" s="153"/>
      <c r="Q292" s="181"/>
      <c r="R292" s="181"/>
      <c r="S292" s="160"/>
      <c r="T292" s="160"/>
      <c r="U292" s="160"/>
    </row>
    <row r="293" spans="1:21" s="3" customFormat="1" ht="39.6" customHeight="1" x14ac:dyDescent="0.25">
      <c r="A293" s="31"/>
      <c r="B293" s="34" t="s">
        <v>73</v>
      </c>
      <c r="C293" s="33" t="s">
        <v>292</v>
      </c>
      <c r="D293" s="14" t="s">
        <v>14</v>
      </c>
      <c r="E293" s="15">
        <f>20.6*0.22*1.1</f>
        <v>4.9852000000000007</v>
      </c>
      <c r="F293" s="16">
        <v>2016276</v>
      </c>
      <c r="G293" s="17">
        <v>1</v>
      </c>
      <c r="H293" s="18">
        <f t="shared" si="35"/>
        <v>10052000</v>
      </c>
      <c r="I293" s="227">
        <f t="shared" si="32"/>
        <v>10052000</v>
      </c>
      <c r="J293" s="174"/>
      <c r="K293" s="153"/>
      <c r="L293" s="153"/>
      <c r="M293" s="153"/>
      <c r="N293" s="153"/>
      <c r="O293" s="153"/>
      <c r="P293" s="153"/>
      <c r="Q293" s="181"/>
      <c r="R293" s="181"/>
      <c r="S293" s="160"/>
      <c r="T293" s="160"/>
      <c r="U293" s="160"/>
    </row>
    <row r="294" spans="1:21" s="3" customFormat="1" ht="39.6" customHeight="1" x14ac:dyDescent="0.25">
      <c r="A294" s="31"/>
      <c r="B294" s="34" t="s">
        <v>47</v>
      </c>
      <c r="C294" s="33" t="s">
        <v>286</v>
      </c>
      <c r="D294" s="14" t="s">
        <v>13</v>
      </c>
      <c r="E294" s="15">
        <f>20.6*1.1</f>
        <v>22.660000000000004</v>
      </c>
      <c r="F294" s="16">
        <v>122264</v>
      </c>
      <c r="G294" s="17">
        <v>1</v>
      </c>
      <c r="H294" s="18">
        <f t="shared" si="35"/>
        <v>2771000</v>
      </c>
      <c r="I294" s="227">
        <f t="shared" si="32"/>
        <v>2771000</v>
      </c>
      <c r="J294" s="174"/>
      <c r="K294" s="153"/>
      <c r="L294" s="153"/>
      <c r="M294" s="153"/>
      <c r="N294" s="153"/>
      <c r="O294" s="153"/>
      <c r="P294" s="153"/>
      <c r="Q294" s="181"/>
      <c r="R294" s="181"/>
      <c r="S294" s="160"/>
      <c r="T294" s="160"/>
      <c r="U294" s="160"/>
    </row>
    <row r="295" spans="1:21" s="44" customFormat="1" ht="37.5" customHeight="1" x14ac:dyDescent="0.25">
      <c r="A295" s="45">
        <v>2</v>
      </c>
      <c r="B295" s="46" t="s">
        <v>324</v>
      </c>
      <c r="C295" s="47" t="s">
        <v>298</v>
      </c>
      <c r="D295" s="14" t="s">
        <v>13</v>
      </c>
      <c r="E295" s="15">
        <f>5.5*2.1</f>
        <v>11.55</v>
      </c>
      <c r="F295" s="16">
        <v>315499</v>
      </c>
      <c r="G295" s="17">
        <v>1</v>
      </c>
      <c r="H295" s="18">
        <f t="shared" si="35"/>
        <v>3644000</v>
      </c>
      <c r="I295" s="227">
        <f t="shared" si="32"/>
        <v>3644000</v>
      </c>
      <c r="J295" s="214"/>
      <c r="K295" s="173"/>
      <c r="L295" s="173"/>
      <c r="M295" s="173"/>
      <c r="N295" s="173"/>
      <c r="O295" s="173"/>
      <c r="P295" s="173"/>
      <c r="Q295" s="215"/>
      <c r="R295" s="215"/>
      <c r="S295" s="166"/>
      <c r="T295" s="166"/>
      <c r="U295" s="166"/>
    </row>
    <row r="296" spans="1:21" s="10" customFormat="1" ht="39.6" customHeight="1" x14ac:dyDescent="0.25">
      <c r="A296" s="102">
        <v>3</v>
      </c>
      <c r="B296" s="435" t="s">
        <v>83</v>
      </c>
      <c r="C296" s="435"/>
      <c r="D296" s="435"/>
      <c r="E296" s="435"/>
      <c r="F296" s="435"/>
      <c r="G296" s="103"/>
      <c r="H296" s="104">
        <f>SUM(H297:H298)</f>
        <v>551000</v>
      </c>
      <c r="I296" s="227">
        <f t="shared" si="32"/>
        <v>0</v>
      </c>
      <c r="J296" s="211"/>
      <c r="K296" s="169"/>
      <c r="L296" s="169"/>
      <c r="M296" s="169"/>
      <c r="N296" s="169"/>
      <c r="O296" s="169"/>
      <c r="P296" s="169"/>
      <c r="Q296" s="169"/>
      <c r="R296" s="169"/>
      <c r="S296" s="170"/>
      <c r="T296" s="170"/>
      <c r="U296" s="170"/>
    </row>
    <row r="297" spans="1:21" s="3" customFormat="1" ht="39.6" customHeight="1" x14ac:dyDescent="0.25">
      <c r="A297" s="31"/>
      <c r="B297" s="34" t="s">
        <v>73</v>
      </c>
      <c r="C297" s="33" t="s">
        <v>292</v>
      </c>
      <c r="D297" s="14" t="s">
        <v>14</v>
      </c>
      <c r="E297" s="15">
        <f>1.5*0.35*0.2*2</f>
        <v>0.20999999999999996</v>
      </c>
      <c r="F297" s="16">
        <v>2016276</v>
      </c>
      <c r="G297" s="17">
        <v>1</v>
      </c>
      <c r="H297" s="18">
        <f>ROUND(E297*F297*G297,-3)</f>
        <v>423000</v>
      </c>
      <c r="I297" s="227">
        <f t="shared" si="32"/>
        <v>423000</v>
      </c>
      <c r="J297" s="174"/>
      <c r="K297" s="153"/>
      <c r="L297" s="153"/>
      <c r="M297" s="153"/>
      <c r="N297" s="153"/>
      <c r="O297" s="153"/>
      <c r="P297" s="153"/>
      <c r="Q297" s="181"/>
      <c r="R297" s="181"/>
      <c r="S297" s="160"/>
      <c r="T297" s="160"/>
      <c r="U297" s="160"/>
    </row>
    <row r="298" spans="1:21" s="3" customFormat="1" ht="39.6" customHeight="1" x14ac:dyDescent="0.25">
      <c r="A298" s="31"/>
      <c r="B298" s="34" t="s">
        <v>47</v>
      </c>
      <c r="C298" s="33" t="s">
        <v>286</v>
      </c>
      <c r="D298" s="14" t="s">
        <v>13</v>
      </c>
      <c r="E298" s="15">
        <f>1.5*0.35*2</f>
        <v>1.0499999999999998</v>
      </c>
      <c r="F298" s="16">
        <v>122264</v>
      </c>
      <c r="G298" s="17">
        <v>1</v>
      </c>
      <c r="H298" s="18">
        <f>ROUND(E298*F298*G298,-3)</f>
        <v>128000</v>
      </c>
      <c r="I298" s="227">
        <f t="shared" si="32"/>
        <v>128000</v>
      </c>
      <c r="J298" s="174"/>
      <c r="K298" s="153"/>
      <c r="L298" s="153"/>
      <c r="M298" s="153"/>
      <c r="N298" s="153"/>
      <c r="O298" s="153"/>
      <c r="P298" s="153"/>
      <c r="Q298" s="181"/>
      <c r="R298" s="181"/>
      <c r="S298" s="160"/>
      <c r="T298" s="160"/>
      <c r="U298" s="160"/>
    </row>
    <row r="299" spans="1:21" s="3" customFormat="1" ht="55.5" customHeight="1" x14ac:dyDescent="0.25">
      <c r="A299" s="81" t="s">
        <v>236</v>
      </c>
      <c r="B299" s="148" t="s">
        <v>402</v>
      </c>
      <c r="C299" s="149"/>
      <c r="D299" s="40" t="s">
        <v>13</v>
      </c>
      <c r="E299" s="118">
        <v>119.6</v>
      </c>
      <c r="F299" s="126">
        <v>30000</v>
      </c>
      <c r="G299" s="150">
        <v>1</v>
      </c>
      <c r="H299" s="82">
        <f>E299*F299</f>
        <v>3588000</v>
      </c>
      <c r="I299" s="227">
        <f t="shared" si="32"/>
        <v>3588000</v>
      </c>
      <c r="J299" s="174"/>
      <c r="K299" s="153"/>
      <c r="L299" s="153"/>
      <c r="M299" s="153"/>
      <c r="N299" s="153"/>
      <c r="O299" s="153"/>
      <c r="P299" s="153"/>
      <c r="Q299" s="181"/>
      <c r="R299" s="181"/>
      <c r="S299" s="153">
        <f>H299</f>
        <v>3588000</v>
      </c>
      <c r="T299" s="160"/>
      <c r="U299" s="160"/>
    </row>
    <row r="300" spans="1:21" s="4" customFormat="1" ht="34.15" customHeight="1" x14ac:dyDescent="0.25">
      <c r="A300" s="81" t="s">
        <v>111</v>
      </c>
      <c r="B300" s="440" t="s">
        <v>85</v>
      </c>
      <c r="C300" s="440"/>
      <c r="D300" s="440"/>
      <c r="E300" s="440"/>
      <c r="F300" s="440"/>
      <c r="G300" s="440"/>
      <c r="H300" s="82">
        <f>H303+H313+H301+H392</f>
        <v>494178000</v>
      </c>
      <c r="I300" s="227">
        <f t="shared" si="32"/>
        <v>0</v>
      </c>
      <c r="J300" s="174">
        <f>H300-I300</f>
        <v>494178000</v>
      </c>
      <c r="K300" s="153"/>
      <c r="L300" s="153"/>
      <c r="M300" s="153"/>
      <c r="N300" s="153"/>
      <c r="O300" s="153"/>
      <c r="P300" s="153"/>
      <c r="Q300" s="188"/>
      <c r="R300" s="188"/>
      <c r="S300" s="155"/>
      <c r="T300" s="155"/>
      <c r="U300" s="155"/>
    </row>
    <row r="301" spans="1:21" s="9" customFormat="1" ht="64.5" customHeight="1" x14ac:dyDescent="0.25">
      <c r="A301" s="83" t="s">
        <v>11</v>
      </c>
      <c r="B301" s="453" t="s">
        <v>405</v>
      </c>
      <c r="C301" s="453"/>
      <c r="D301" s="453"/>
      <c r="E301" s="453"/>
      <c r="F301" s="453"/>
      <c r="G301" s="246"/>
      <c r="H301" s="84">
        <f>SUM(H302:H302)</f>
        <v>345360000</v>
      </c>
      <c r="I301" s="227">
        <f t="shared" si="32"/>
        <v>0</v>
      </c>
      <c r="J301" s="189"/>
      <c r="K301" s="175">
        <f>H302</f>
        <v>345360000</v>
      </c>
      <c r="L301" s="175"/>
      <c r="M301" s="175"/>
      <c r="N301" s="175"/>
      <c r="O301" s="175"/>
      <c r="P301" s="190"/>
      <c r="Q301" s="156"/>
      <c r="R301" s="156"/>
      <c r="S301" s="157"/>
      <c r="T301" s="157"/>
      <c r="U301" s="157"/>
    </row>
    <row r="302" spans="1:21" s="239" customFormat="1" ht="26.1" customHeight="1" x14ac:dyDescent="0.25">
      <c r="A302" s="85"/>
      <c r="B302" s="86" t="s">
        <v>241</v>
      </c>
      <c r="C302" s="87" t="s">
        <v>242</v>
      </c>
      <c r="D302" s="85" t="s">
        <v>13</v>
      </c>
      <c r="E302" s="88">
        <f>99.9+44</f>
        <v>143.9</v>
      </c>
      <c r="F302" s="89">
        <v>3000000</v>
      </c>
      <c r="G302" s="247">
        <v>0.8</v>
      </c>
      <c r="H302" s="91">
        <f>ROUND(E302*F302*G302,-3)</f>
        <v>345360000</v>
      </c>
      <c r="I302" s="227">
        <f t="shared" si="32"/>
        <v>345360000</v>
      </c>
      <c r="J302" s="240"/>
      <c r="K302" s="241"/>
      <c r="L302" s="241"/>
      <c r="M302" s="241"/>
      <c r="N302" s="241"/>
      <c r="O302" s="241"/>
      <c r="P302" s="242"/>
      <c r="Q302" s="172"/>
      <c r="R302" s="172"/>
      <c r="S302" s="238"/>
      <c r="T302" s="238"/>
      <c r="U302" s="238"/>
    </row>
    <row r="303" spans="1:21" s="3" customFormat="1" ht="39.6" customHeight="1" x14ac:dyDescent="0.25">
      <c r="A303" s="97" t="s">
        <v>12</v>
      </c>
      <c r="B303" s="432" t="s">
        <v>373</v>
      </c>
      <c r="C303" s="432"/>
      <c r="D303" s="432"/>
      <c r="E303" s="432"/>
      <c r="F303" s="432"/>
      <c r="G303" s="432"/>
      <c r="H303" s="82">
        <f>SUM(H304:H312)</f>
        <v>5627000</v>
      </c>
      <c r="I303" s="227">
        <f t="shared" si="32"/>
        <v>0</v>
      </c>
      <c r="J303" s="174"/>
      <c r="K303" s="153"/>
      <c r="L303" s="153"/>
      <c r="M303" s="153"/>
      <c r="N303" s="153"/>
      <c r="O303" s="153">
        <f>H303</f>
        <v>5627000</v>
      </c>
      <c r="P303" s="153"/>
      <c r="Q303" s="181"/>
      <c r="R303" s="181"/>
      <c r="S303" s="160"/>
      <c r="T303" s="160"/>
      <c r="U303" s="160"/>
    </row>
    <row r="304" spans="1:21" s="3" customFormat="1" ht="26.1" customHeight="1" x14ac:dyDescent="0.25">
      <c r="A304" s="31"/>
      <c r="B304" s="35" t="s">
        <v>325</v>
      </c>
      <c r="C304" s="36" t="s">
        <v>299</v>
      </c>
      <c r="D304" s="14" t="s">
        <v>16</v>
      </c>
      <c r="E304" s="37">
        <v>1</v>
      </c>
      <c r="F304" s="38">
        <v>600000</v>
      </c>
      <c r="G304" s="249">
        <v>1</v>
      </c>
      <c r="H304" s="39">
        <f>ROUND(E304*F304*G304,-3)</f>
        <v>600000</v>
      </c>
      <c r="I304" s="227">
        <f t="shared" si="32"/>
        <v>600000</v>
      </c>
      <c r="J304" s="174"/>
      <c r="K304" s="153"/>
      <c r="L304" s="153"/>
      <c r="M304" s="153"/>
      <c r="N304" s="153"/>
      <c r="O304" s="153"/>
      <c r="P304" s="153"/>
      <c r="Q304" s="181"/>
      <c r="R304" s="181"/>
      <c r="S304" s="160"/>
      <c r="T304" s="160"/>
      <c r="U304" s="160"/>
    </row>
    <row r="305" spans="1:21" s="3" customFormat="1" ht="26.1" customHeight="1" x14ac:dyDescent="0.25">
      <c r="A305" s="31"/>
      <c r="B305" s="35" t="s">
        <v>327</v>
      </c>
      <c r="C305" s="36" t="s">
        <v>326</v>
      </c>
      <c r="D305" s="14" t="s">
        <v>16</v>
      </c>
      <c r="E305" s="37">
        <v>1</v>
      </c>
      <c r="F305" s="38">
        <v>400000</v>
      </c>
      <c r="G305" s="249">
        <v>1</v>
      </c>
      <c r="H305" s="39">
        <f t="shared" ref="H305:H312" si="36">ROUND(E305*F305*G305,-3)</f>
        <v>400000</v>
      </c>
      <c r="I305" s="227">
        <f t="shared" si="32"/>
        <v>400000</v>
      </c>
      <c r="J305" s="174"/>
      <c r="K305" s="153"/>
      <c r="L305" s="153"/>
      <c r="M305" s="153"/>
      <c r="N305" s="153"/>
      <c r="O305" s="153"/>
      <c r="P305" s="153"/>
      <c r="Q305" s="181"/>
      <c r="R305" s="181"/>
      <c r="S305" s="160"/>
      <c r="T305" s="160"/>
      <c r="U305" s="160"/>
    </row>
    <row r="306" spans="1:21" s="3" customFormat="1" ht="26.1" customHeight="1" x14ac:dyDescent="0.25">
      <c r="A306" s="31"/>
      <c r="B306" s="35" t="s">
        <v>328</v>
      </c>
      <c r="C306" s="36" t="s">
        <v>300</v>
      </c>
      <c r="D306" s="14" t="s">
        <v>16</v>
      </c>
      <c r="E306" s="37">
        <v>3</v>
      </c>
      <c r="F306" s="38">
        <v>1100000</v>
      </c>
      <c r="G306" s="249">
        <v>1</v>
      </c>
      <c r="H306" s="39">
        <f t="shared" si="36"/>
        <v>3300000</v>
      </c>
      <c r="I306" s="227">
        <f t="shared" si="32"/>
        <v>3300000</v>
      </c>
      <c r="J306" s="174"/>
      <c r="K306" s="153"/>
      <c r="L306" s="153"/>
      <c r="M306" s="153"/>
      <c r="N306" s="153"/>
      <c r="O306" s="153"/>
      <c r="P306" s="153"/>
      <c r="Q306" s="181"/>
      <c r="R306" s="181"/>
      <c r="S306" s="160"/>
      <c r="T306" s="160"/>
      <c r="U306" s="160"/>
    </row>
    <row r="307" spans="1:21" s="3" customFormat="1" ht="26.1" customHeight="1" x14ac:dyDescent="0.25">
      <c r="A307" s="31"/>
      <c r="B307" s="35" t="s">
        <v>86</v>
      </c>
      <c r="C307" s="36" t="s">
        <v>329</v>
      </c>
      <c r="D307" s="14" t="s">
        <v>16</v>
      </c>
      <c r="E307" s="37">
        <v>2</v>
      </c>
      <c r="F307" s="38">
        <v>300000</v>
      </c>
      <c r="G307" s="249">
        <v>1</v>
      </c>
      <c r="H307" s="39">
        <f t="shared" si="36"/>
        <v>600000</v>
      </c>
      <c r="I307" s="227">
        <f t="shared" si="32"/>
        <v>600000</v>
      </c>
      <c r="J307" s="174"/>
      <c r="K307" s="153"/>
      <c r="L307" s="153"/>
      <c r="M307" s="153"/>
      <c r="N307" s="153"/>
      <c r="O307" s="153"/>
      <c r="P307" s="153"/>
      <c r="Q307" s="181"/>
      <c r="R307" s="181"/>
      <c r="S307" s="160"/>
      <c r="T307" s="160"/>
      <c r="U307" s="160"/>
    </row>
    <row r="308" spans="1:21" s="19" customFormat="1" ht="26.1" customHeight="1" x14ac:dyDescent="0.25">
      <c r="A308" s="31"/>
      <c r="B308" s="35" t="s">
        <v>331</v>
      </c>
      <c r="C308" s="36" t="s">
        <v>301</v>
      </c>
      <c r="D308" s="14" t="s">
        <v>13</v>
      </c>
      <c r="E308" s="37">
        <v>1</v>
      </c>
      <c r="F308" s="38">
        <v>42000</v>
      </c>
      <c r="G308" s="249">
        <v>1</v>
      </c>
      <c r="H308" s="39">
        <f t="shared" si="36"/>
        <v>42000</v>
      </c>
      <c r="I308" s="227">
        <f t="shared" si="32"/>
        <v>42000</v>
      </c>
      <c r="J308" s="200"/>
      <c r="K308" s="161"/>
      <c r="L308" s="161"/>
      <c r="M308" s="161"/>
      <c r="N308" s="161"/>
      <c r="O308" s="161"/>
      <c r="P308" s="161"/>
      <c r="Q308" s="201"/>
      <c r="R308" s="201"/>
      <c r="S308" s="162"/>
      <c r="T308" s="162"/>
      <c r="U308" s="162"/>
    </row>
    <row r="309" spans="1:21" s="19" customFormat="1" ht="26.1" customHeight="1" x14ac:dyDescent="0.25">
      <c r="A309" s="31"/>
      <c r="B309" s="35" t="s">
        <v>87</v>
      </c>
      <c r="C309" s="36" t="s">
        <v>330</v>
      </c>
      <c r="D309" s="14" t="s">
        <v>13</v>
      </c>
      <c r="E309" s="37">
        <v>2</v>
      </c>
      <c r="F309" s="38">
        <v>12500</v>
      </c>
      <c r="G309" s="249">
        <v>1</v>
      </c>
      <c r="H309" s="39">
        <f t="shared" si="36"/>
        <v>25000</v>
      </c>
      <c r="I309" s="227">
        <f t="shared" si="32"/>
        <v>25000</v>
      </c>
      <c r="J309" s="200"/>
      <c r="K309" s="161"/>
      <c r="L309" s="161"/>
      <c r="M309" s="161"/>
      <c r="N309" s="161"/>
      <c r="O309" s="161"/>
      <c r="P309" s="161"/>
      <c r="Q309" s="201"/>
      <c r="R309" s="201"/>
      <c r="S309" s="162"/>
      <c r="T309" s="162"/>
      <c r="U309" s="162"/>
    </row>
    <row r="310" spans="1:21" s="3" customFormat="1" ht="26.1" customHeight="1" x14ac:dyDescent="0.25">
      <c r="A310" s="31"/>
      <c r="B310" s="35" t="s">
        <v>88</v>
      </c>
      <c r="C310" s="36" t="s">
        <v>291</v>
      </c>
      <c r="D310" s="14" t="s">
        <v>13</v>
      </c>
      <c r="E310" s="37">
        <v>10</v>
      </c>
      <c r="F310" s="38">
        <v>20000</v>
      </c>
      <c r="G310" s="249">
        <v>1</v>
      </c>
      <c r="H310" s="39">
        <f t="shared" si="36"/>
        <v>200000</v>
      </c>
      <c r="I310" s="227">
        <f t="shared" si="32"/>
        <v>200000</v>
      </c>
      <c r="J310" s="174"/>
      <c r="K310" s="153"/>
      <c r="L310" s="153"/>
      <c r="M310" s="153"/>
      <c r="N310" s="153"/>
      <c r="O310" s="153"/>
      <c r="P310" s="153"/>
      <c r="Q310" s="181"/>
      <c r="R310" s="181"/>
      <c r="S310" s="160"/>
      <c r="T310" s="160"/>
      <c r="U310" s="160"/>
    </row>
    <row r="311" spans="1:21" s="3" customFormat="1" ht="26.1" customHeight="1" x14ac:dyDescent="0.25">
      <c r="A311" s="31"/>
      <c r="B311" s="35" t="s">
        <v>23</v>
      </c>
      <c r="C311" s="36" t="s">
        <v>291</v>
      </c>
      <c r="D311" s="14" t="s">
        <v>13</v>
      </c>
      <c r="E311" s="37">
        <v>8</v>
      </c>
      <c r="F311" s="38">
        <v>20000</v>
      </c>
      <c r="G311" s="249">
        <v>1</v>
      </c>
      <c r="H311" s="39">
        <f t="shared" si="36"/>
        <v>160000</v>
      </c>
      <c r="I311" s="227">
        <f t="shared" si="32"/>
        <v>160000</v>
      </c>
      <c r="J311" s="174"/>
      <c r="K311" s="153"/>
      <c r="L311" s="153"/>
      <c r="M311" s="153"/>
      <c r="N311" s="153"/>
      <c r="O311" s="153"/>
      <c r="P311" s="153"/>
      <c r="Q311" s="181"/>
      <c r="R311" s="181"/>
      <c r="S311" s="160"/>
      <c r="T311" s="160"/>
      <c r="U311" s="160"/>
    </row>
    <row r="312" spans="1:21" s="3" customFormat="1" ht="26.1" customHeight="1" x14ac:dyDescent="0.25">
      <c r="A312" s="31"/>
      <c r="B312" s="35" t="s">
        <v>89</v>
      </c>
      <c r="C312" s="36" t="s">
        <v>291</v>
      </c>
      <c r="D312" s="14" t="s">
        <v>13</v>
      </c>
      <c r="E312" s="37">
        <v>15</v>
      </c>
      <c r="F312" s="38">
        <v>20000</v>
      </c>
      <c r="G312" s="249">
        <v>1</v>
      </c>
      <c r="H312" s="39">
        <f t="shared" si="36"/>
        <v>300000</v>
      </c>
      <c r="I312" s="227">
        <f t="shared" si="32"/>
        <v>300000</v>
      </c>
      <c r="J312" s="174"/>
      <c r="K312" s="153"/>
      <c r="L312" s="153"/>
      <c r="M312" s="153"/>
      <c r="N312" s="153"/>
      <c r="O312" s="153"/>
      <c r="P312" s="153"/>
      <c r="Q312" s="181"/>
      <c r="R312" s="181"/>
      <c r="S312" s="160"/>
      <c r="T312" s="160"/>
      <c r="U312" s="160"/>
    </row>
    <row r="313" spans="1:21" s="3" customFormat="1" ht="42" customHeight="1" x14ac:dyDescent="0.25">
      <c r="A313" s="97" t="s">
        <v>61</v>
      </c>
      <c r="B313" s="433" t="s">
        <v>372</v>
      </c>
      <c r="C313" s="433"/>
      <c r="D313" s="433"/>
      <c r="E313" s="433"/>
      <c r="F313" s="433"/>
      <c r="G313" s="433"/>
      <c r="H313" s="82">
        <f>H314+H337+H347+H353+H358+H366+H371+H372+H373</f>
        <v>113191000</v>
      </c>
      <c r="I313" s="227">
        <f t="shared" si="32"/>
        <v>0</v>
      </c>
      <c r="J313" s="174"/>
      <c r="K313" s="153"/>
      <c r="L313" s="153"/>
      <c r="M313" s="153"/>
      <c r="N313" s="153"/>
      <c r="O313" s="153"/>
      <c r="P313" s="153">
        <f>H313</f>
        <v>113191000</v>
      </c>
      <c r="Q313" s="181"/>
      <c r="R313" s="181"/>
      <c r="S313" s="160"/>
      <c r="T313" s="160"/>
      <c r="U313" s="160"/>
    </row>
    <row r="314" spans="1:21" s="6" customFormat="1" ht="26.1" customHeight="1" x14ac:dyDescent="0.25">
      <c r="A314" s="61">
        <v>1</v>
      </c>
      <c r="B314" s="62" t="s">
        <v>90</v>
      </c>
      <c r="C314" s="63"/>
      <c r="D314" s="61"/>
      <c r="E314" s="64"/>
      <c r="F314" s="65"/>
      <c r="G314" s="250"/>
      <c r="H314" s="66">
        <f>SUM(H315:H336)</f>
        <v>21951000</v>
      </c>
      <c r="I314" s="227">
        <f t="shared" si="32"/>
        <v>0</v>
      </c>
      <c r="J314" s="202"/>
      <c r="K314" s="202"/>
      <c r="L314" s="202"/>
      <c r="M314" s="202"/>
      <c r="N314" s="202"/>
      <c r="O314" s="203"/>
      <c r="P314" s="204"/>
      <c r="Q314" s="163"/>
      <c r="R314" s="163"/>
      <c r="S314" s="164"/>
      <c r="T314" s="164"/>
      <c r="U314" s="164"/>
    </row>
    <row r="315" spans="1:21" s="44" customFormat="1" ht="48" customHeight="1" x14ac:dyDescent="0.25">
      <c r="A315" s="55"/>
      <c r="B315" s="67" t="s">
        <v>96</v>
      </c>
      <c r="C315" s="57" t="s">
        <v>283</v>
      </c>
      <c r="D315" s="58" t="s">
        <v>13</v>
      </c>
      <c r="E315" s="59">
        <f>2.2*2.15</f>
        <v>4.7300000000000004</v>
      </c>
      <c r="F315" s="60">
        <v>1429813</v>
      </c>
      <c r="G315" s="251">
        <v>1</v>
      </c>
      <c r="H315" s="54">
        <f t="shared" ref="H315:H331" si="37">ROUND(E315*F315*G315,-3)</f>
        <v>6763000</v>
      </c>
      <c r="I315" s="227">
        <f t="shared" si="32"/>
        <v>6763000</v>
      </c>
      <c r="J315" s="207"/>
      <c r="K315" s="207"/>
      <c r="L315" s="207"/>
      <c r="M315" s="207"/>
      <c r="N315" s="207"/>
      <c r="O315" s="208"/>
      <c r="P315" s="208"/>
      <c r="Q315" s="172"/>
      <c r="R315" s="172"/>
      <c r="S315" s="166"/>
      <c r="T315" s="166"/>
      <c r="U315" s="166"/>
    </row>
    <row r="316" spans="1:21" s="6" customFormat="1" ht="50.25" customHeight="1" x14ac:dyDescent="0.25">
      <c r="A316" s="55"/>
      <c r="B316" s="454" t="s">
        <v>97</v>
      </c>
      <c r="C316" s="455"/>
      <c r="D316" s="455"/>
      <c r="E316" s="455"/>
      <c r="F316" s="456"/>
      <c r="G316" s="251"/>
      <c r="H316" s="54">
        <f t="shared" si="37"/>
        <v>0</v>
      </c>
      <c r="I316" s="227">
        <f t="shared" si="32"/>
        <v>0</v>
      </c>
      <c r="J316" s="202"/>
      <c r="K316" s="202"/>
      <c r="L316" s="202"/>
      <c r="M316" s="202"/>
      <c r="N316" s="202"/>
      <c r="O316" s="203"/>
      <c r="P316" s="204"/>
      <c r="Q316" s="158"/>
      <c r="R316" s="158"/>
      <c r="S316" s="164"/>
      <c r="T316" s="164"/>
      <c r="U316" s="164"/>
    </row>
    <row r="317" spans="1:21" s="6" customFormat="1" ht="26.1" customHeight="1" x14ac:dyDescent="0.25">
      <c r="A317" s="55"/>
      <c r="B317" s="454" t="s">
        <v>91</v>
      </c>
      <c r="C317" s="455"/>
      <c r="D317" s="455"/>
      <c r="E317" s="455"/>
      <c r="F317" s="456"/>
      <c r="G317" s="251"/>
      <c r="H317" s="54">
        <f t="shared" si="37"/>
        <v>0</v>
      </c>
      <c r="I317" s="227">
        <f t="shared" si="32"/>
        <v>0</v>
      </c>
      <c r="J317" s="202"/>
      <c r="K317" s="202"/>
      <c r="L317" s="202"/>
      <c r="M317" s="202"/>
      <c r="N317" s="202"/>
      <c r="O317" s="203"/>
      <c r="P317" s="204"/>
      <c r="Q317" s="158"/>
      <c r="R317" s="158"/>
      <c r="S317" s="164"/>
      <c r="T317" s="164"/>
      <c r="U317" s="164"/>
    </row>
    <row r="318" spans="1:21" s="6" customFormat="1" ht="26.1" customHeight="1" x14ac:dyDescent="0.25">
      <c r="A318" s="55"/>
      <c r="B318" s="56" t="s">
        <v>92</v>
      </c>
      <c r="C318" s="57" t="s">
        <v>302</v>
      </c>
      <c r="D318" s="58" t="s">
        <v>14</v>
      </c>
      <c r="E318" s="59">
        <f>0.2*0.2*2.5*2</f>
        <v>0.20000000000000004</v>
      </c>
      <c r="F318" s="60">
        <v>3226656</v>
      </c>
      <c r="G318" s="251">
        <v>1</v>
      </c>
      <c r="H318" s="54">
        <f t="shared" si="37"/>
        <v>645000</v>
      </c>
      <c r="I318" s="227">
        <f t="shared" si="32"/>
        <v>645000</v>
      </c>
      <c r="J318" s="202"/>
      <c r="K318" s="202"/>
      <c r="L318" s="202"/>
      <c r="M318" s="202"/>
      <c r="N318" s="202"/>
      <c r="O318" s="203"/>
      <c r="P318" s="204"/>
      <c r="Q318" s="158"/>
      <c r="R318" s="158"/>
      <c r="S318" s="164"/>
      <c r="T318" s="164"/>
      <c r="U318" s="164"/>
    </row>
    <row r="319" spans="1:21" s="6" customFormat="1" ht="46.5" customHeight="1" x14ac:dyDescent="0.25">
      <c r="A319" s="55"/>
      <c r="B319" s="107" t="s">
        <v>93</v>
      </c>
      <c r="C319" s="57" t="s">
        <v>303</v>
      </c>
      <c r="D319" s="58" t="s">
        <v>15</v>
      </c>
      <c r="E319" s="59">
        <f>4*1.58*2.5*2</f>
        <v>31.6</v>
      </c>
      <c r="F319" s="60">
        <v>25652</v>
      </c>
      <c r="G319" s="251">
        <v>1</v>
      </c>
      <c r="H319" s="54">
        <f t="shared" si="37"/>
        <v>811000</v>
      </c>
      <c r="I319" s="227">
        <f t="shared" si="32"/>
        <v>811000</v>
      </c>
      <c r="J319" s="202"/>
      <c r="K319" s="202"/>
      <c r="L319" s="202"/>
      <c r="M319" s="202"/>
      <c r="N319" s="202"/>
      <c r="O319" s="203"/>
      <c r="P319" s="204"/>
      <c r="Q319" s="158"/>
      <c r="R319" s="158"/>
      <c r="S319" s="164"/>
      <c r="T319" s="164"/>
      <c r="U319" s="164"/>
    </row>
    <row r="320" spans="1:21" s="6" customFormat="1" ht="47.25" customHeight="1" x14ac:dyDescent="0.25">
      <c r="A320" s="55"/>
      <c r="B320" s="107" t="s">
        <v>261</v>
      </c>
      <c r="C320" s="57" t="s">
        <v>304</v>
      </c>
      <c r="D320" s="58" t="s">
        <v>13</v>
      </c>
      <c r="E320" s="59">
        <f>2.5*0.2*4*2</f>
        <v>4</v>
      </c>
      <c r="F320" s="60">
        <v>202246</v>
      </c>
      <c r="G320" s="251">
        <v>1</v>
      </c>
      <c r="H320" s="54">
        <f t="shared" si="37"/>
        <v>809000</v>
      </c>
      <c r="I320" s="227">
        <f t="shared" si="32"/>
        <v>809000</v>
      </c>
      <c r="J320" s="202"/>
      <c r="K320" s="202"/>
      <c r="L320" s="202"/>
      <c r="M320" s="202"/>
      <c r="N320" s="202"/>
      <c r="O320" s="203"/>
      <c r="P320" s="204"/>
      <c r="Q320" s="158"/>
      <c r="R320" s="158"/>
      <c r="S320" s="164"/>
      <c r="T320" s="164"/>
      <c r="U320" s="164"/>
    </row>
    <row r="321" spans="1:21" s="6" customFormat="1" ht="27.75" customHeight="1" x14ac:dyDescent="0.25">
      <c r="A321" s="55"/>
      <c r="B321" s="457" t="s">
        <v>24</v>
      </c>
      <c r="C321" s="458"/>
      <c r="D321" s="458"/>
      <c r="E321" s="458"/>
      <c r="F321" s="459"/>
      <c r="G321" s="251"/>
      <c r="H321" s="54">
        <f t="shared" si="37"/>
        <v>0</v>
      </c>
      <c r="I321" s="227">
        <f t="shared" si="32"/>
        <v>0</v>
      </c>
      <c r="J321" s="202"/>
      <c r="K321" s="202"/>
      <c r="L321" s="202"/>
      <c r="M321" s="202"/>
      <c r="N321" s="202"/>
      <c r="O321" s="203"/>
      <c r="P321" s="204"/>
      <c r="Q321" s="158"/>
      <c r="R321" s="158"/>
      <c r="S321" s="164"/>
      <c r="T321" s="164"/>
      <c r="U321" s="164"/>
    </row>
    <row r="322" spans="1:21" s="6" customFormat="1" ht="42.75" customHeight="1" x14ac:dyDescent="0.25">
      <c r="A322" s="55"/>
      <c r="B322" s="67" t="s">
        <v>25</v>
      </c>
      <c r="C322" s="57" t="s">
        <v>273</v>
      </c>
      <c r="D322" s="58" t="s">
        <v>14</v>
      </c>
      <c r="E322" s="59">
        <f>0.8*0.8*1*2</f>
        <v>1.2800000000000002</v>
      </c>
      <c r="F322" s="60">
        <v>386181</v>
      </c>
      <c r="G322" s="251">
        <v>1</v>
      </c>
      <c r="H322" s="54">
        <f t="shared" si="37"/>
        <v>494000</v>
      </c>
      <c r="I322" s="227">
        <f t="shared" si="32"/>
        <v>494000</v>
      </c>
      <c r="J322" s="202"/>
      <c r="K322" s="202"/>
      <c r="L322" s="202"/>
      <c r="M322" s="202"/>
      <c r="N322" s="202"/>
      <c r="O322" s="203"/>
      <c r="P322" s="204"/>
      <c r="Q322" s="158"/>
      <c r="R322" s="158"/>
      <c r="S322" s="164"/>
      <c r="T322" s="164"/>
      <c r="U322" s="164"/>
    </row>
    <row r="323" spans="1:21" s="6" customFormat="1" ht="26.1" customHeight="1" x14ac:dyDescent="0.25">
      <c r="A323" s="55"/>
      <c r="B323" s="56" t="s">
        <v>42</v>
      </c>
      <c r="C323" s="57" t="s">
        <v>274</v>
      </c>
      <c r="D323" s="58" t="s">
        <v>14</v>
      </c>
      <c r="E323" s="59">
        <f>E322/3</f>
        <v>0.42666666666666675</v>
      </c>
      <c r="F323" s="60">
        <v>185275</v>
      </c>
      <c r="G323" s="251">
        <v>1</v>
      </c>
      <c r="H323" s="54">
        <f t="shared" si="37"/>
        <v>79000</v>
      </c>
      <c r="I323" s="227">
        <f t="shared" si="32"/>
        <v>79000</v>
      </c>
      <c r="J323" s="202"/>
      <c r="K323" s="202"/>
      <c r="L323" s="202"/>
      <c r="M323" s="202"/>
      <c r="N323" s="202"/>
      <c r="O323" s="203"/>
      <c r="P323" s="204"/>
      <c r="Q323" s="158"/>
      <c r="R323" s="158"/>
      <c r="S323" s="164"/>
      <c r="T323" s="164"/>
      <c r="U323" s="164"/>
    </row>
    <row r="324" spans="1:21" s="6" customFormat="1" ht="26.1" customHeight="1" x14ac:dyDescent="0.25">
      <c r="A324" s="55"/>
      <c r="B324" s="67" t="s">
        <v>95</v>
      </c>
      <c r="C324" s="57" t="s">
        <v>285</v>
      </c>
      <c r="D324" s="58" t="s">
        <v>14</v>
      </c>
      <c r="E324" s="59">
        <f>((0.6*0.6*0.8)-(0.2*0.2*0.15))*2</f>
        <v>0.56399999999999995</v>
      </c>
      <c r="F324" s="60">
        <v>1869307</v>
      </c>
      <c r="G324" s="251">
        <v>1</v>
      </c>
      <c r="H324" s="54">
        <f t="shared" si="37"/>
        <v>1054000</v>
      </c>
      <c r="I324" s="227">
        <f t="shared" si="32"/>
        <v>1054000</v>
      </c>
      <c r="J324" s="202"/>
      <c r="K324" s="202"/>
      <c r="L324" s="202"/>
      <c r="M324" s="202"/>
      <c r="N324" s="202"/>
      <c r="O324" s="203"/>
      <c r="P324" s="204"/>
      <c r="Q324" s="158"/>
      <c r="R324" s="158"/>
      <c r="S324" s="164"/>
      <c r="T324" s="164"/>
      <c r="U324" s="164"/>
    </row>
    <row r="325" spans="1:21" s="6" customFormat="1" ht="40.5" customHeight="1" x14ac:dyDescent="0.25">
      <c r="A325" s="55"/>
      <c r="B325" s="67" t="s">
        <v>26</v>
      </c>
      <c r="C325" s="57" t="s">
        <v>276</v>
      </c>
      <c r="D325" s="58" t="s">
        <v>14</v>
      </c>
      <c r="E325" s="59">
        <f>((0.5*0.5*2.35)-(0.2*0.2*2.35))*2</f>
        <v>0.98699999999999999</v>
      </c>
      <c r="F325" s="60">
        <v>2543957</v>
      </c>
      <c r="G325" s="251">
        <v>1</v>
      </c>
      <c r="H325" s="54">
        <f t="shared" si="37"/>
        <v>2511000</v>
      </c>
      <c r="I325" s="227">
        <f t="shared" si="32"/>
        <v>2511000</v>
      </c>
      <c r="J325" s="202"/>
      <c r="K325" s="202"/>
      <c r="L325" s="202"/>
      <c r="M325" s="202"/>
      <c r="N325" s="202"/>
      <c r="O325" s="203"/>
      <c r="P325" s="204"/>
      <c r="Q325" s="158"/>
      <c r="R325" s="158"/>
      <c r="S325" s="164"/>
      <c r="T325" s="164"/>
      <c r="U325" s="164"/>
    </row>
    <row r="326" spans="1:21" s="6" customFormat="1" ht="26.1" customHeight="1" x14ac:dyDescent="0.25">
      <c r="A326" s="55"/>
      <c r="B326" s="67" t="s">
        <v>28</v>
      </c>
      <c r="C326" s="57" t="s">
        <v>278</v>
      </c>
      <c r="D326" s="58" t="s">
        <v>13</v>
      </c>
      <c r="E326" s="59">
        <f>2.35*0.5*4*2</f>
        <v>9.4</v>
      </c>
      <c r="F326" s="60">
        <v>242854</v>
      </c>
      <c r="G326" s="251">
        <v>1</v>
      </c>
      <c r="H326" s="54">
        <f t="shared" si="37"/>
        <v>2283000</v>
      </c>
      <c r="I326" s="227">
        <f t="shared" si="32"/>
        <v>2283000</v>
      </c>
      <c r="J326" s="202"/>
      <c r="K326" s="202"/>
      <c r="L326" s="202"/>
      <c r="M326" s="202"/>
      <c r="N326" s="202"/>
      <c r="O326" s="203"/>
      <c r="P326" s="204"/>
      <c r="Q326" s="158"/>
      <c r="R326" s="158"/>
      <c r="S326" s="164"/>
      <c r="T326" s="164"/>
      <c r="U326" s="164"/>
    </row>
    <row r="327" spans="1:21" s="19" customFormat="1" ht="26.1" customHeight="1" x14ac:dyDescent="0.25">
      <c r="A327" s="31"/>
      <c r="B327" s="32" t="s">
        <v>45</v>
      </c>
      <c r="C327" s="33" t="s">
        <v>319</v>
      </c>
      <c r="D327" s="14" t="s">
        <v>13</v>
      </c>
      <c r="E327" s="15">
        <f>E326</f>
        <v>9.4</v>
      </c>
      <c r="F327" s="16">
        <v>103996</v>
      </c>
      <c r="G327" s="17">
        <v>1</v>
      </c>
      <c r="H327" s="18">
        <f t="shared" si="37"/>
        <v>978000</v>
      </c>
      <c r="I327" s="227">
        <f t="shared" ref="I327:I390" si="38">ROUND(G327*F327*E327,-3)</f>
        <v>978000</v>
      </c>
      <c r="J327" s="200"/>
      <c r="K327" s="161"/>
      <c r="L327" s="161"/>
      <c r="M327" s="161"/>
      <c r="N327" s="161"/>
      <c r="O327" s="161"/>
      <c r="P327" s="161"/>
      <c r="Q327" s="201"/>
      <c r="R327" s="201"/>
      <c r="S327" s="162"/>
      <c r="T327" s="162"/>
      <c r="U327" s="162"/>
    </row>
    <row r="328" spans="1:21" s="6" customFormat="1" ht="41.25" customHeight="1" x14ac:dyDescent="0.25">
      <c r="A328" s="40"/>
      <c r="B328" s="101" t="s">
        <v>98</v>
      </c>
      <c r="C328" s="41" t="s">
        <v>305</v>
      </c>
      <c r="D328" s="14" t="s">
        <v>34</v>
      </c>
      <c r="E328" s="42">
        <f>0.5*4*2*2</f>
        <v>8</v>
      </c>
      <c r="F328" s="16">
        <v>54544</v>
      </c>
      <c r="G328" s="243">
        <v>1</v>
      </c>
      <c r="H328" s="43">
        <f t="shared" si="37"/>
        <v>436000</v>
      </c>
      <c r="I328" s="227">
        <f t="shared" si="38"/>
        <v>436000</v>
      </c>
      <c r="J328" s="205"/>
      <c r="K328" s="205"/>
      <c r="L328" s="205"/>
      <c r="M328" s="205"/>
      <c r="N328" s="205"/>
      <c r="O328" s="164"/>
      <c r="P328" s="206"/>
      <c r="Q328" s="158"/>
      <c r="R328" s="158"/>
      <c r="S328" s="164"/>
      <c r="T328" s="164"/>
      <c r="U328" s="164"/>
    </row>
    <row r="329" spans="1:21" s="6" customFormat="1" ht="35.25" customHeight="1" x14ac:dyDescent="0.25">
      <c r="A329" s="55"/>
      <c r="B329" s="454" t="s">
        <v>99</v>
      </c>
      <c r="C329" s="455"/>
      <c r="D329" s="455"/>
      <c r="E329" s="455"/>
      <c r="F329" s="456"/>
      <c r="G329" s="251"/>
      <c r="H329" s="54">
        <f t="shared" si="37"/>
        <v>0</v>
      </c>
      <c r="I329" s="227">
        <f t="shared" si="38"/>
        <v>0</v>
      </c>
      <c r="J329" s="202"/>
      <c r="K329" s="202"/>
      <c r="L329" s="202"/>
      <c r="M329" s="202"/>
      <c r="N329" s="202"/>
      <c r="O329" s="203"/>
      <c r="P329" s="204"/>
      <c r="Q329" s="158"/>
      <c r="R329" s="158"/>
      <c r="S329" s="164"/>
      <c r="T329" s="164"/>
      <c r="U329" s="164"/>
    </row>
    <row r="330" spans="1:21" s="6" customFormat="1" ht="33.75" customHeight="1" x14ac:dyDescent="0.25">
      <c r="A330" s="55"/>
      <c r="B330" s="108" t="s">
        <v>29</v>
      </c>
      <c r="C330" s="57" t="s">
        <v>279</v>
      </c>
      <c r="D330" s="58" t="s">
        <v>14</v>
      </c>
      <c r="E330" s="59">
        <f>3.5*1.05*0.12</f>
        <v>0.441</v>
      </c>
      <c r="F330" s="60">
        <v>2687552</v>
      </c>
      <c r="G330" s="251">
        <v>1</v>
      </c>
      <c r="H330" s="54">
        <f t="shared" si="37"/>
        <v>1185000</v>
      </c>
      <c r="I330" s="227">
        <f t="shared" si="38"/>
        <v>1185000</v>
      </c>
      <c r="J330" s="202"/>
      <c r="K330" s="202"/>
      <c r="L330" s="202"/>
      <c r="M330" s="202"/>
      <c r="N330" s="202"/>
      <c r="O330" s="203"/>
      <c r="P330" s="204"/>
      <c r="Q330" s="158"/>
      <c r="R330" s="158"/>
      <c r="S330" s="164"/>
      <c r="T330" s="164"/>
      <c r="U330" s="164"/>
    </row>
    <row r="331" spans="1:21" s="6" customFormat="1" ht="42.75" customHeight="1" x14ac:dyDescent="0.25">
      <c r="A331" s="55"/>
      <c r="B331" s="107" t="s">
        <v>30</v>
      </c>
      <c r="C331" s="57" t="s">
        <v>280</v>
      </c>
      <c r="D331" s="58" t="s">
        <v>15</v>
      </c>
      <c r="E331" s="59">
        <f>((35*1.05)+(3.5*10))*0.395</f>
        <v>28.341250000000002</v>
      </c>
      <c r="F331" s="60">
        <v>26982</v>
      </c>
      <c r="G331" s="251">
        <v>1</v>
      </c>
      <c r="H331" s="54">
        <f t="shared" si="37"/>
        <v>765000</v>
      </c>
      <c r="I331" s="227">
        <f t="shared" si="38"/>
        <v>765000</v>
      </c>
      <c r="J331" s="202"/>
      <c r="K331" s="202"/>
      <c r="L331" s="202"/>
      <c r="M331" s="202"/>
      <c r="N331" s="202"/>
      <c r="O331" s="203"/>
      <c r="P331" s="204"/>
      <c r="Q331" s="158"/>
      <c r="R331" s="158"/>
      <c r="S331" s="164"/>
      <c r="T331" s="164"/>
      <c r="U331" s="164"/>
    </row>
    <row r="332" spans="1:21" s="6" customFormat="1" ht="41.25" customHeight="1" x14ac:dyDescent="0.25">
      <c r="A332" s="55"/>
      <c r="B332" s="107" t="s">
        <v>31</v>
      </c>
      <c r="C332" s="57" t="s">
        <v>281</v>
      </c>
      <c r="D332" s="58" t="s">
        <v>13</v>
      </c>
      <c r="E332" s="59">
        <f>3.5*1.05+(3.5+1.05)*2*0.12</f>
        <v>4.7670000000000003</v>
      </c>
      <c r="F332" s="60">
        <v>187964</v>
      </c>
      <c r="G332" s="251">
        <v>1</v>
      </c>
      <c r="H332" s="54">
        <f>ROUND(E332*F332*G332,-3)</f>
        <v>896000</v>
      </c>
      <c r="I332" s="227">
        <f t="shared" si="38"/>
        <v>896000</v>
      </c>
      <c r="J332" s="202"/>
      <c r="K332" s="202"/>
      <c r="L332" s="202"/>
      <c r="M332" s="202"/>
      <c r="N332" s="202"/>
      <c r="O332" s="203"/>
      <c r="P332" s="204"/>
      <c r="Q332" s="158"/>
      <c r="R332" s="158"/>
      <c r="S332" s="164"/>
      <c r="T332" s="164"/>
      <c r="U332" s="164"/>
    </row>
    <row r="333" spans="1:21" s="30" customFormat="1" ht="48.6" customHeight="1" x14ac:dyDescent="0.25">
      <c r="A333" s="48"/>
      <c r="B333" s="49" t="s">
        <v>100</v>
      </c>
      <c r="C333" s="50" t="s">
        <v>290</v>
      </c>
      <c r="D333" s="51" t="s">
        <v>14</v>
      </c>
      <c r="E333" s="52">
        <f>8.3*0.2*0.22</f>
        <v>0.36520000000000002</v>
      </c>
      <c r="F333" s="53">
        <v>2013297</v>
      </c>
      <c r="G333" s="251">
        <v>1</v>
      </c>
      <c r="H333" s="54">
        <f>ROUND(E333*F333*G333,-3)</f>
        <v>735000</v>
      </c>
      <c r="I333" s="227">
        <f t="shared" si="38"/>
        <v>735000</v>
      </c>
      <c r="J333" s="209"/>
      <c r="K333" s="209"/>
      <c r="L333" s="209"/>
      <c r="M333" s="209"/>
      <c r="N333" s="209"/>
      <c r="O333" s="210"/>
      <c r="P333" s="210"/>
      <c r="Q333" s="176"/>
      <c r="R333" s="176"/>
      <c r="S333" s="168"/>
      <c r="T333" s="168"/>
      <c r="U333" s="168"/>
    </row>
    <row r="334" spans="1:21" s="3" customFormat="1" ht="26.1" customHeight="1" x14ac:dyDescent="0.25">
      <c r="A334" s="31"/>
      <c r="B334" s="34" t="s">
        <v>47</v>
      </c>
      <c r="C334" s="33" t="s">
        <v>286</v>
      </c>
      <c r="D334" s="14" t="s">
        <v>13</v>
      </c>
      <c r="E334" s="15">
        <f>8.3*(0.2*2+0.22)</f>
        <v>5.1460000000000008</v>
      </c>
      <c r="F334" s="16">
        <v>122264</v>
      </c>
      <c r="G334" s="17">
        <v>1</v>
      </c>
      <c r="H334" s="18">
        <f t="shared" ref="H334:H336" si="39">ROUND(E334*F334*G334,-3)</f>
        <v>629000</v>
      </c>
      <c r="I334" s="227">
        <f t="shared" si="38"/>
        <v>629000</v>
      </c>
      <c r="J334" s="174"/>
      <c r="K334" s="153"/>
      <c r="L334" s="153"/>
      <c r="M334" s="153"/>
      <c r="N334" s="153"/>
      <c r="O334" s="153"/>
      <c r="P334" s="153"/>
      <c r="Q334" s="181"/>
      <c r="R334" s="181"/>
      <c r="S334" s="160"/>
      <c r="T334" s="160"/>
      <c r="U334" s="160"/>
    </row>
    <row r="335" spans="1:21" s="19" customFormat="1" ht="26.1" customHeight="1" x14ac:dyDescent="0.25">
      <c r="A335" s="31"/>
      <c r="B335" s="32" t="s">
        <v>45</v>
      </c>
      <c r="C335" s="33" t="s">
        <v>319</v>
      </c>
      <c r="D335" s="14" t="s">
        <v>13</v>
      </c>
      <c r="E335" s="15">
        <f>3.5*1.05</f>
        <v>3.6750000000000003</v>
      </c>
      <c r="F335" s="16">
        <v>103996</v>
      </c>
      <c r="G335" s="17">
        <v>1</v>
      </c>
      <c r="H335" s="18">
        <f t="shared" si="39"/>
        <v>382000</v>
      </c>
      <c r="I335" s="227">
        <f t="shared" si="38"/>
        <v>382000</v>
      </c>
      <c r="J335" s="200"/>
      <c r="K335" s="161"/>
      <c r="L335" s="161"/>
      <c r="M335" s="161"/>
      <c r="N335" s="161"/>
      <c r="O335" s="161"/>
      <c r="P335" s="161"/>
      <c r="Q335" s="201"/>
      <c r="R335" s="201"/>
      <c r="S335" s="162"/>
      <c r="T335" s="162"/>
      <c r="U335" s="162"/>
    </row>
    <row r="336" spans="1:21" s="6" customFormat="1" ht="41.25" customHeight="1" x14ac:dyDescent="0.25">
      <c r="A336" s="40"/>
      <c r="B336" s="101" t="s">
        <v>98</v>
      </c>
      <c r="C336" s="41" t="s">
        <v>305</v>
      </c>
      <c r="D336" s="14" t="s">
        <v>34</v>
      </c>
      <c r="E336" s="42">
        <f>9.1</f>
        <v>9.1</v>
      </c>
      <c r="F336" s="16">
        <v>54544</v>
      </c>
      <c r="G336" s="243">
        <v>1</v>
      </c>
      <c r="H336" s="43">
        <f t="shared" si="39"/>
        <v>496000</v>
      </c>
      <c r="I336" s="227">
        <f t="shared" si="38"/>
        <v>496000</v>
      </c>
      <c r="J336" s="205"/>
      <c r="K336" s="205"/>
      <c r="L336" s="205"/>
      <c r="M336" s="205"/>
      <c r="N336" s="205"/>
      <c r="O336" s="164"/>
      <c r="P336" s="206"/>
      <c r="Q336" s="158"/>
      <c r="R336" s="158"/>
      <c r="S336" s="164"/>
      <c r="T336" s="164"/>
      <c r="U336" s="164"/>
    </row>
    <row r="337" spans="1:21" s="10" customFormat="1" ht="39.6" customHeight="1" x14ac:dyDescent="0.25">
      <c r="A337" s="102">
        <v>2</v>
      </c>
      <c r="B337" s="435" t="s">
        <v>101</v>
      </c>
      <c r="C337" s="435"/>
      <c r="D337" s="435"/>
      <c r="E337" s="435"/>
      <c r="F337" s="435"/>
      <c r="G337" s="103"/>
      <c r="H337" s="104">
        <f>SUM(H338:H346)</f>
        <v>13824000</v>
      </c>
      <c r="I337" s="227">
        <f t="shared" si="38"/>
        <v>0</v>
      </c>
      <c r="J337" s="211"/>
      <c r="K337" s="169"/>
      <c r="L337" s="169"/>
      <c r="M337" s="169"/>
      <c r="N337" s="169"/>
      <c r="O337" s="169"/>
      <c r="P337" s="169"/>
      <c r="Q337" s="169"/>
      <c r="R337" s="169"/>
      <c r="S337" s="170"/>
      <c r="T337" s="170"/>
      <c r="U337" s="170"/>
    </row>
    <row r="338" spans="1:21" s="3" customFormat="1" ht="39.6" customHeight="1" x14ac:dyDescent="0.25">
      <c r="A338" s="31"/>
      <c r="B338" s="34" t="s">
        <v>41</v>
      </c>
      <c r="C338" s="33" t="s">
        <v>284</v>
      </c>
      <c r="D338" s="14" t="s">
        <v>14</v>
      </c>
      <c r="E338" s="15">
        <f>11.7*0.4*0.3</f>
        <v>1.4039999999999999</v>
      </c>
      <c r="F338" s="16">
        <v>266100</v>
      </c>
      <c r="G338" s="17">
        <v>1</v>
      </c>
      <c r="H338" s="18">
        <f>ROUND(E338*F338*G338,-3)</f>
        <v>374000</v>
      </c>
      <c r="I338" s="227">
        <f t="shared" si="38"/>
        <v>374000</v>
      </c>
      <c r="J338" s="174"/>
      <c r="K338" s="153"/>
      <c r="L338" s="153"/>
      <c r="M338" s="153"/>
      <c r="N338" s="153"/>
      <c r="O338" s="153"/>
      <c r="P338" s="153"/>
      <c r="Q338" s="181"/>
      <c r="R338" s="181"/>
      <c r="S338" s="160"/>
      <c r="T338" s="160"/>
      <c r="U338" s="160"/>
    </row>
    <row r="339" spans="1:21" s="3" customFormat="1" ht="39.6" customHeight="1" x14ac:dyDescent="0.25">
      <c r="A339" s="31"/>
      <c r="B339" s="34" t="s">
        <v>42</v>
      </c>
      <c r="C339" s="33" t="s">
        <v>274</v>
      </c>
      <c r="D339" s="14" t="s">
        <v>14</v>
      </c>
      <c r="E339" s="15">
        <f>E338/3</f>
        <v>0.46799999999999997</v>
      </c>
      <c r="F339" s="16">
        <v>185275</v>
      </c>
      <c r="G339" s="17">
        <v>1</v>
      </c>
      <c r="H339" s="18">
        <f>ROUND(E339*F339*G339,-3)</f>
        <v>87000</v>
      </c>
      <c r="I339" s="227">
        <f t="shared" si="38"/>
        <v>87000</v>
      </c>
      <c r="J339" s="174"/>
      <c r="K339" s="153"/>
      <c r="L339" s="153"/>
      <c r="M339" s="153"/>
      <c r="N339" s="153"/>
      <c r="O339" s="153"/>
      <c r="P339" s="153"/>
      <c r="Q339" s="181"/>
      <c r="R339" s="181"/>
      <c r="S339" s="160"/>
      <c r="T339" s="160"/>
      <c r="U339" s="160"/>
    </row>
    <row r="340" spans="1:21" s="3" customFormat="1" ht="39.6" customHeight="1" x14ac:dyDescent="0.25">
      <c r="A340" s="31"/>
      <c r="B340" s="34" t="s">
        <v>43</v>
      </c>
      <c r="C340" s="33" t="s">
        <v>285</v>
      </c>
      <c r="D340" s="14" t="s">
        <v>14</v>
      </c>
      <c r="E340" s="15">
        <f>11.7*0.22*0.3</f>
        <v>0.77219999999999989</v>
      </c>
      <c r="F340" s="16">
        <v>1869307</v>
      </c>
      <c r="G340" s="17">
        <v>1</v>
      </c>
      <c r="H340" s="18">
        <f>ROUND(E340*F340*G340,-3)</f>
        <v>1443000</v>
      </c>
      <c r="I340" s="227">
        <f t="shared" si="38"/>
        <v>1443000</v>
      </c>
      <c r="J340" s="174"/>
      <c r="K340" s="153"/>
      <c r="L340" s="153"/>
      <c r="M340" s="153"/>
      <c r="N340" s="153"/>
      <c r="O340" s="153"/>
      <c r="P340" s="153"/>
      <c r="Q340" s="181"/>
      <c r="R340" s="181"/>
      <c r="S340" s="160"/>
      <c r="T340" s="160"/>
      <c r="U340" s="160"/>
    </row>
    <row r="341" spans="1:21" s="3" customFormat="1" ht="39.6" customHeight="1" x14ac:dyDescent="0.25">
      <c r="A341" s="31"/>
      <c r="B341" s="34" t="s">
        <v>44</v>
      </c>
      <c r="C341" s="33" t="s">
        <v>262</v>
      </c>
      <c r="D341" s="14" t="s">
        <v>14</v>
      </c>
      <c r="E341" s="15">
        <f>11.7*0.11*1.25</f>
        <v>1.6087499999999999</v>
      </c>
      <c r="F341" s="16">
        <v>2218558</v>
      </c>
      <c r="G341" s="17">
        <v>1</v>
      </c>
      <c r="H341" s="18">
        <f>ROUND(E341*F341*G341,-3)</f>
        <v>3569000</v>
      </c>
      <c r="I341" s="227">
        <f t="shared" si="38"/>
        <v>3569000</v>
      </c>
      <c r="J341" s="174"/>
      <c r="K341" s="153"/>
      <c r="L341" s="153"/>
      <c r="M341" s="153"/>
      <c r="N341" s="153"/>
      <c r="O341" s="153"/>
      <c r="P341" s="153"/>
      <c r="Q341" s="181"/>
      <c r="R341" s="181"/>
      <c r="S341" s="160"/>
      <c r="T341" s="160"/>
      <c r="U341" s="160"/>
    </row>
    <row r="342" spans="1:21" s="3" customFormat="1" ht="39.6" customHeight="1" x14ac:dyDescent="0.25">
      <c r="A342" s="31"/>
      <c r="B342" s="34" t="s">
        <v>47</v>
      </c>
      <c r="C342" s="33" t="s">
        <v>286</v>
      </c>
      <c r="D342" s="14" t="s">
        <v>13</v>
      </c>
      <c r="E342" s="15">
        <f>11.7*1.25*2</f>
        <v>29.25</v>
      </c>
      <c r="F342" s="16">
        <v>122264</v>
      </c>
      <c r="G342" s="17">
        <v>1</v>
      </c>
      <c r="H342" s="18">
        <f>ROUND(E342*F342*G342,-3)</f>
        <v>3576000</v>
      </c>
      <c r="I342" s="227">
        <f t="shared" si="38"/>
        <v>3576000</v>
      </c>
      <c r="J342" s="174"/>
      <c r="K342" s="153"/>
      <c r="L342" s="153"/>
      <c r="M342" s="153"/>
      <c r="N342" s="153"/>
      <c r="O342" s="153"/>
      <c r="P342" s="153"/>
      <c r="Q342" s="181"/>
      <c r="R342" s="181"/>
      <c r="S342" s="160"/>
      <c r="T342" s="160"/>
      <c r="U342" s="160"/>
    </row>
    <row r="343" spans="1:21" s="19" customFormat="1" ht="26.1" customHeight="1" x14ac:dyDescent="0.25">
      <c r="A343" s="31"/>
      <c r="B343" s="32" t="s">
        <v>45</v>
      </c>
      <c r="C343" s="33" t="s">
        <v>319</v>
      </c>
      <c r="D343" s="14" t="s">
        <v>13</v>
      </c>
      <c r="E343" s="15">
        <f>E342</f>
        <v>29.25</v>
      </c>
      <c r="F343" s="16">
        <v>103996</v>
      </c>
      <c r="G343" s="17">
        <v>1</v>
      </c>
      <c r="H343" s="18">
        <f t="shared" ref="H343:H346" si="40">ROUND(E343*F343*G343,-3)</f>
        <v>3042000</v>
      </c>
      <c r="I343" s="227">
        <f t="shared" si="38"/>
        <v>3042000</v>
      </c>
      <c r="J343" s="200"/>
      <c r="K343" s="161"/>
      <c r="L343" s="161"/>
      <c r="M343" s="161"/>
      <c r="N343" s="161"/>
      <c r="O343" s="161"/>
      <c r="P343" s="161"/>
      <c r="Q343" s="201"/>
      <c r="R343" s="201"/>
      <c r="S343" s="162"/>
      <c r="T343" s="162"/>
      <c r="U343" s="162"/>
    </row>
    <row r="344" spans="1:21" s="44" customFormat="1" ht="26.1" customHeight="1" x14ac:dyDescent="0.25">
      <c r="A344" s="55"/>
      <c r="B344" s="56" t="s">
        <v>102</v>
      </c>
      <c r="C344" s="57" t="s">
        <v>302</v>
      </c>
      <c r="D344" s="58" t="s">
        <v>14</v>
      </c>
      <c r="E344" s="59">
        <f>0.25*0.25*1.5*3</f>
        <v>0.28125</v>
      </c>
      <c r="F344" s="60">
        <v>3226656</v>
      </c>
      <c r="G344" s="251">
        <v>1</v>
      </c>
      <c r="H344" s="54">
        <f t="shared" si="40"/>
        <v>907000</v>
      </c>
      <c r="I344" s="227">
        <f t="shared" si="38"/>
        <v>907000</v>
      </c>
      <c r="J344" s="207"/>
      <c r="K344" s="207"/>
      <c r="L344" s="207"/>
      <c r="M344" s="207"/>
      <c r="N344" s="207"/>
      <c r="O344" s="208"/>
      <c r="P344" s="208"/>
      <c r="Q344" s="172"/>
      <c r="R344" s="172"/>
      <c r="S344" s="166"/>
      <c r="T344" s="166"/>
      <c r="U344" s="166"/>
    </row>
    <row r="345" spans="1:21" s="6" customFormat="1" ht="46.5" customHeight="1" x14ac:dyDescent="0.25">
      <c r="A345" s="55"/>
      <c r="B345" s="107" t="s">
        <v>93</v>
      </c>
      <c r="C345" s="57" t="s">
        <v>303</v>
      </c>
      <c r="D345" s="58" t="s">
        <v>15</v>
      </c>
      <c r="E345" s="59">
        <f>4*1.58*1.5*3</f>
        <v>28.44</v>
      </c>
      <c r="F345" s="60">
        <v>25652</v>
      </c>
      <c r="G345" s="251">
        <v>1</v>
      </c>
      <c r="H345" s="54">
        <f t="shared" si="40"/>
        <v>730000</v>
      </c>
      <c r="I345" s="227">
        <f t="shared" si="38"/>
        <v>730000</v>
      </c>
      <c r="J345" s="202"/>
      <c r="K345" s="202"/>
      <c r="L345" s="202"/>
      <c r="M345" s="202"/>
      <c r="N345" s="202"/>
      <c r="O345" s="203"/>
      <c r="P345" s="204"/>
      <c r="Q345" s="158"/>
      <c r="R345" s="158"/>
      <c r="S345" s="164"/>
      <c r="T345" s="164"/>
      <c r="U345" s="164"/>
    </row>
    <row r="346" spans="1:21" s="6" customFormat="1" ht="47.25" customHeight="1" x14ac:dyDescent="0.25">
      <c r="A346" s="55"/>
      <c r="B346" s="107" t="s">
        <v>94</v>
      </c>
      <c r="C346" s="57" t="s">
        <v>306</v>
      </c>
      <c r="D346" s="58" t="s">
        <v>15</v>
      </c>
      <c r="E346" s="59">
        <f>1.5*0.2*4*3</f>
        <v>3.6000000000000005</v>
      </c>
      <c r="F346" s="60">
        <v>26705</v>
      </c>
      <c r="G346" s="251">
        <v>1</v>
      </c>
      <c r="H346" s="54">
        <f t="shared" si="40"/>
        <v>96000</v>
      </c>
      <c r="I346" s="227">
        <f t="shared" si="38"/>
        <v>96000</v>
      </c>
      <c r="J346" s="202"/>
      <c r="K346" s="202"/>
      <c r="L346" s="202"/>
      <c r="M346" s="202"/>
      <c r="N346" s="202"/>
      <c r="O346" s="203"/>
      <c r="P346" s="204"/>
      <c r="Q346" s="158"/>
      <c r="R346" s="158"/>
      <c r="S346" s="164"/>
      <c r="T346" s="164"/>
      <c r="U346" s="164"/>
    </row>
    <row r="347" spans="1:21" s="10" customFormat="1" ht="39.6" customHeight="1" x14ac:dyDescent="0.25">
      <c r="A347" s="102">
        <v>3</v>
      </c>
      <c r="B347" s="450" t="s">
        <v>103</v>
      </c>
      <c r="C347" s="451"/>
      <c r="D347" s="451"/>
      <c r="E347" s="451"/>
      <c r="F347" s="452"/>
      <c r="G347" s="106"/>
      <c r="H347" s="104">
        <f>SUM(H348:H352)</f>
        <v>8607000</v>
      </c>
      <c r="I347" s="227">
        <f t="shared" si="38"/>
        <v>0</v>
      </c>
      <c r="J347" s="211"/>
      <c r="K347" s="169"/>
      <c r="L347" s="169"/>
      <c r="M347" s="169"/>
      <c r="N347" s="169"/>
      <c r="O347" s="169"/>
      <c r="P347" s="169"/>
      <c r="Q347" s="212"/>
      <c r="R347" s="212"/>
      <c r="S347" s="170"/>
      <c r="T347" s="170"/>
      <c r="U347" s="170"/>
    </row>
    <row r="348" spans="1:21" s="3" customFormat="1" ht="26.1" customHeight="1" x14ac:dyDescent="0.25">
      <c r="A348" s="31"/>
      <c r="B348" s="34" t="s">
        <v>41</v>
      </c>
      <c r="C348" s="33" t="s">
        <v>284</v>
      </c>
      <c r="D348" s="14" t="s">
        <v>14</v>
      </c>
      <c r="E348" s="15">
        <f>11.6*0.4*0.3</f>
        <v>1.3919999999999999</v>
      </c>
      <c r="F348" s="16">
        <v>266100</v>
      </c>
      <c r="G348" s="17">
        <v>1</v>
      </c>
      <c r="H348" s="18">
        <f t="shared" ref="H348:H352" si="41">ROUND(E348*F348*G348,-3)</f>
        <v>370000</v>
      </c>
      <c r="I348" s="227">
        <f t="shared" si="38"/>
        <v>370000</v>
      </c>
      <c r="J348" s="174"/>
      <c r="K348" s="153"/>
      <c r="L348" s="153"/>
      <c r="M348" s="153"/>
      <c r="N348" s="153"/>
      <c r="O348" s="153"/>
      <c r="P348" s="153"/>
      <c r="Q348" s="181"/>
      <c r="R348" s="181"/>
      <c r="S348" s="160"/>
      <c r="T348" s="160"/>
      <c r="U348" s="160"/>
    </row>
    <row r="349" spans="1:21" s="3" customFormat="1" ht="26.1" customHeight="1" x14ac:dyDescent="0.25">
      <c r="A349" s="31"/>
      <c r="B349" s="34" t="s">
        <v>42</v>
      </c>
      <c r="C349" s="33" t="s">
        <v>274</v>
      </c>
      <c r="D349" s="14" t="s">
        <v>14</v>
      </c>
      <c r="E349" s="15">
        <f>E348/3</f>
        <v>0.46399999999999997</v>
      </c>
      <c r="F349" s="16">
        <v>185275</v>
      </c>
      <c r="G349" s="17">
        <v>1</v>
      </c>
      <c r="H349" s="18">
        <f t="shared" si="41"/>
        <v>86000</v>
      </c>
      <c r="I349" s="227">
        <f t="shared" si="38"/>
        <v>86000</v>
      </c>
      <c r="J349" s="174"/>
      <c r="K349" s="153"/>
      <c r="L349" s="153"/>
      <c r="M349" s="153"/>
      <c r="N349" s="153"/>
      <c r="O349" s="153"/>
      <c r="P349" s="153"/>
      <c r="Q349" s="181"/>
      <c r="R349" s="181"/>
      <c r="S349" s="160"/>
      <c r="T349" s="160"/>
      <c r="U349" s="160"/>
    </row>
    <row r="350" spans="1:21" s="3" customFormat="1" ht="29.45" customHeight="1" x14ac:dyDescent="0.25">
      <c r="A350" s="31"/>
      <c r="B350" s="34" t="s">
        <v>49</v>
      </c>
      <c r="C350" s="33" t="s">
        <v>289</v>
      </c>
      <c r="D350" s="14" t="s">
        <v>14</v>
      </c>
      <c r="E350" s="15">
        <f>11.6*0.22*0.3</f>
        <v>0.76559999999999995</v>
      </c>
      <c r="F350" s="16">
        <v>1952153</v>
      </c>
      <c r="G350" s="17">
        <v>1</v>
      </c>
      <c r="H350" s="18">
        <f t="shared" si="41"/>
        <v>1495000</v>
      </c>
      <c r="I350" s="227">
        <f t="shared" si="38"/>
        <v>1495000</v>
      </c>
      <c r="J350" s="174"/>
      <c r="K350" s="153"/>
      <c r="L350" s="153"/>
      <c r="M350" s="153"/>
      <c r="N350" s="153"/>
      <c r="O350" s="153"/>
      <c r="P350" s="153"/>
      <c r="Q350" s="181"/>
      <c r="R350" s="181"/>
      <c r="S350" s="160"/>
      <c r="T350" s="160"/>
      <c r="U350" s="160"/>
    </row>
    <row r="351" spans="1:21" s="3" customFormat="1" ht="36.6" customHeight="1" x14ac:dyDescent="0.25">
      <c r="A351" s="31"/>
      <c r="B351" s="34" t="s">
        <v>50</v>
      </c>
      <c r="C351" s="33" t="s">
        <v>290</v>
      </c>
      <c r="D351" s="14" t="s">
        <v>14</v>
      </c>
      <c r="E351" s="15">
        <f>11.6*0.15*1.05</f>
        <v>1.827</v>
      </c>
      <c r="F351" s="16">
        <v>2013297</v>
      </c>
      <c r="G351" s="17">
        <v>1</v>
      </c>
      <c r="H351" s="18">
        <f t="shared" si="41"/>
        <v>3678000</v>
      </c>
      <c r="I351" s="227">
        <f t="shared" si="38"/>
        <v>3678000</v>
      </c>
      <c r="J351" s="174"/>
      <c r="K351" s="153"/>
      <c r="L351" s="153"/>
      <c r="M351" s="153"/>
      <c r="N351" s="153"/>
      <c r="O351" s="153"/>
      <c r="P351" s="153"/>
      <c r="Q351" s="181"/>
      <c r="R351" s="181"/>
      <c r="S351" s="160"/>
      <c r="T351" s="160"/>
      <c r="U351" s="160"/>
    </row>
    <row r="352" spans="1:21" s="3" customFormat="1" ht="39.6" customHeight="1" x14ac:dyDescent="0.25">
      <c r="A352" s="31"/>
      <c r="B352" s="34" t="s">
        <v>47</v>
      </c>
      <c r="C352" s="33" t="s">
        <v>286</v>
      </c>
      <c r="D352" s="14" t="s">
        <v>13</v>
      </c>
      <c r="E352" s="15">
        <f>11.6*1.05*2</f>
        <v>24.36</v>
      </c>
      <c r="F352" s="16">
        <v>122264</v>
      </c>
      <c r="G352" s="17">
        <v>1</v>
      </c>
      <c r="H352" s="18">
        <f t="shared" si="41"/>
        <v>2978000</v>
      </c>
      <c r="I352" s="227">
        <f t="shared" si="38"/>
        <v>2978000</v>
      </c>
      <c r="J352" s="174"/>
      <c r="K352" s="153"/>
      <c r="L352" s="153"/>
      <c r="M352" s="153"/>
      <c r="N352" s="153"/>
      <c r="O352" s="153"/>
      <c r="P352" s="153"/>
      <c r="Q352" s="181"/>
      <c r="R352" s="181"/>
      <c r="S352" s="160"/>
      <c r="T352" s="160"/>
      <c r="U352" s="160"/>
    </row>
    <row r="353" spans="1:21" s="10" customFormat="1" ht="39.6" customHeight="1" x14ac:dyDescent="0.25">
      <c r="A353" s="102">
        <v>4</v>
      </c>
      <c r="B353" s="450" t="s">
        <v>104</v>
      </c>
      <c r="C353" s="451"/>
      <c r="D353" s="451"/>
      <c r="E353" s="451"/>
      <c r="F353" s="452"/>
      <c r="G353" s="106"/>
      <c r="H353" s="104">
        <f>SUM(H354:H357)</f>
        <v>3526000</v>
      </c>
      <c r="I353" s="227">
        <f t="shared" si="38"/>
        <v>0</v>
      </c>
      <c r="J353" s="211"/>
      <c r="K353" s="169"/>
      <c r="L353" s="169"/>
      <c r="M353" s="169"/>
      <c r="N353" s="169"/>
      <c r="O353" s="169"/>
      <c r="P353" s="169"/>
      <c r="Q353" s="212"/>
      <c r="R353" s="212"/>
      <c r="S353" s="170"/>
      <c r="T353" s="170"/>
      <c r="U353" s="170"/>
    </row>
    <row r="354" spans="1:21" s="3" customFormat="1" ht="26.1" customHeight="1" x14ac:dyDescent="0.25">
      <c r="A354" s="31"/>
      <c r="B354" s="34" t="s">
        <v>41</v>
      </c>
      <c r="C354" s="33" t="s">
        <v>284</v>
      </c>
      <c r="D354" s="14" t="s">
        <v>14</v>
      </c>
      <c r="E354" s="15">
        <f>7.5*0.4*0.3</f>
        <v>0.89999999999999991</v>
      </c>
      <c r="F354" s="16">
        <v>266100</v>
      </c>
      <c r="G354" s="17">
        <v>1</v>
      </c>
      <c r="H354" s="18">
        <f t="shared" ref="H354:H357" si="42">ROUND(E354*F354*G354,-3)</f>
        <v>239000</v>
      </c>
      <c r="I354" s="227">
        <f t="shared" si="38"/>
        <v>239000</v>
      </c>
      <c r="J354" s="174"/>
      <c r="K354" s="153"/>
      <c r="L354" s="153"/>
      <c r="M354" s="153"/>
      <c r="N354" s="153"/>
      <c r="O354" s="153"/>
      <c r="P354" s="153"/>
      <c r="Q354" s="181"/>
      <c r="R354" s="181"/>
      <c r="S354" s="160"/>
      <c r="T354" s="160"/>
      <c r="U354" s="160"/>
    </row>
    <row r="355" spans="1:21" s="3" customFormat="1" ht="26.1" customHeight="1" x14ac:dyDescent="0.25">
      <c r="A355" s="31"/>
      <c r="B355" s="34" t="s">
        <v>42</v>
      </c>
      <c r="C355" s="33" t="s">
        <v>274</v>
      </c>
      <c r="D355" s="14" t="s">
        <v>14</v>
      </c>
      <c r="E355" s="15">
        <f>E354/3</f>
        <v>0.3</v>
      </c>
      <c r="F355" s="16">
        <v>185275</v>
      </c>
      <c r="G355" s="17">
        <v>1</v>
      </c>
      <c r="H355" s="18">
        <f t="shared" si="42"/>
        <v>56000</v>
      </c>
      <c r="I355" s="227">
        <f t="shared" si="38"/>
        <v>56000</v>
      </c>
      <c r="J355" s="174"/>
      <c r="K355" s="153"/>
      <c r="L355" s="153"/>
      <c r="M355" s="153"/>
      <c r="N355" s="153"/>
      <c r="O355" s="153"/>
      <c r="P355" s="153"/>
      <c r="Q355" s="181"/>
      <c r="R355" s="181"/>
      <c r="S355" s="160"/>
      <c r="T355" s="160"/>
      <c r="U355" s="160"/>
    </row>
    <row r="356" spans="1:21" s="3" customFormat="1" ht="29.45" customHeight="1" x14ac:dyDescent="0.25">
      <c r="A356" s="31"/>
      <c r="B356" s="34" t="s">
        <v>49</v>
      </c>
      <c r="C356" s="33" t="s">
        <v>289</v>
      </c>
      <c r="D356" s="14" t="s">
        <v>14</v>
      </c>
      <c r="E356" s="15">
        <f>7.5*0.22*0.3</f>
        <v>0.49499999999999994</v>
      </c>
      <c r="F356" s="16">
        <v>1952153</v>
      </c>
      <c r="G356" s="17">
        <v>1</v>
      </c>
      <c r="H356" s="18">
        <f t="shared" si="42"/>
        <v>966000</v>
      </c>
      <c r="I356" s="227">
        <f t="shared" si="38"/>
        <v>966000</v>
      </c>
      <c r="J356" s="174"/>
      <c r="K356" s="153"/>
      <c r="L356" s="153"/>
      <c r="M356" s="153"/>
      <c r="N356" s="153"/>
      <c r="O356" s="153"/>
      <c r="P356" s="153"/>
      <c r="Q356" s="181"/>
      <c r="R356" s="181"/>
      <c r="S356" s="160"/>
      <c r="T356" s="160"/>
      <c r="U356" s="160"/>
    </row>
    <row r="357" spans="1:21" s="3" customFormat="1" ht="36.6" customHeight="1" x14ac:dyDescent="0.25">
      <c r="A357" s="31"/>
      <c r="B357" s="34" t="s">
        <v>50</v>
      </c>
      <c r="C357" s="33" t="s">
        <v>290</v>
      </c>
      <c r="D357" s="14" t="s">
        <v>14</v>
      </c>
      <c r="E357" s="15">
        <f>7.5*0.15*1</f>
        <v>1.125</v>
      </c>
      <c r="F357" s="16">
        <v>2013297</v>
      </c>
      <c r="G357" s="17">
        <v>1</v>
      </c>
      <c r="H357" s="18">
        <f t="shared" si="42"/>
        <v>2265000</v>
      </c>
      <c r="I357" s="227">
        <f t="shared" si="38"/>
        <v>2265000</v>
      </c>
      <c r="J357" s="174"/>
      <c r="K357" s="153"/>
      <c r="L357" s="153"/>
      <c r="M357" s="153"/>
      <c r="N357" s="153"/>
      <c r="O357" s="153"/>
      <c r="P357" s="153"/>
      <c r="Q357" s="181"/>
      <c r="R357" s="181"/>
      <c r="S357" s="160"/>
      <c r="T357" s="160"/>
      <c r="U357" s="160"/>
    </row>
    <row r="358" spans="1:21" s="10" customFormat="1" ht="39.6" customHeight="1" x14ac:dyDescent="0.25">
      <c r="A358" s="102">
        <v>5</v>
      </c>
      <c r="B358" s="435" t="s">
        <v>105</v>
      </c>
      <c r="C358" s="435"/>
      <c r="D358" s="435"/>
      <c r="E358" s="435"/>
      <c r="F358" s="435"/>
      <c r="G358" s="103"/>
      <c r="H358" s="104">
        <f>SUM(H359:H365)</f>
        <v>15137000</v>
      </c>
      <c r="I358" s="227">
        <f t="shared" si="38"/>
        <v>0</v>
      </c>
      <c r="J358" s="211"/>
      <c r="K358" s="169"/>
      <c r="L358" s="169"/>
      <c r="M358" s="169"/>
      <c r="N358" s="169"/>
      <c r="O358" s="169"/>
      <c r="P358" s="169"/>
      <c r="Q358" s="169"/>
      <c r="R358" s="169"/>
      <c r="S358" s="170"/>
      <c r="T358" s="170"/>
      <c r="U358" s="170"/>
    </row>
    <row r="359" spans="1:21" s="3" customFormat="1" ht="39.6" customHeight="1" x14ac:dyDescent="0.25">
      <c r="A359" s="31"/>
      <c r="B359" s="34" t="s">
        <v>41</v>
      </c>
      <c r="C359" s="33" t="s">
        <v>284</v>
      </c>
      <c r="D359" s="14" t="s">
        <v>14</v>
      </c>
      <c r="E359" s="15">
        <f>9*0.4*0.3</f>
        <v>1.08</v>
      </c>
      <c r="F359" s="16">
        <v>266100</v>
      </c>
      <c r="G359" s="17">
        <v>1</v>
      </c>
      <c r="H359" s="18">
        <f>ROUND(E359*F359*G359,-3)</f>
        <v>287000</v>
      </c>
      <c r="I359" s="227">
        <f t="shared" si="38"/>
        <v>287000</v>
      </c>
      <c r="J359" s="174"/>
      <c r="K359" s="153"/>
      <c r="L359" s="153"/>
      <c r="M359" s="153"/>
      <c r="N359" s="153"/>
      <c r="O359" s="153"/>
      <c r="P359" s="153"/>
      <c r="Q359" s="181"/>
      <c r="R359" s="181"/>
      <c r="S359" s="160"/>
      <c r="T359" s="160"/>
      <c r="U359" s="160"/>
    </row>
    <row r="360" spans="1:21" s="3" customFormat="1" ht="39.6" customHeight="1" x14ac:dyDescent="0.25">
      <c r="A360" s="31"/>
      <c r="B360" s="34" t="s">
        <v>42</v>
      </c>
      <c r="C360" s="33" t="s">
        <v>274</v>
      </c>
      <c r="D360" s="14" t="s">
        <v>14</v>
      </c>
      <c r="E360" s="15">
        <f>E359/3</f>
        <v>0.36000000000000004</v>
      </c>
      <c r="F360" s="16">
        <v>185275</v>
      </c>
      <c r="G360" s="17">
        <v>1</v>
      </c>
      <c r="H360" s="18">
        <f>ROUND(E360*F360*G360,-3)</f>
        <v>67000</v>
      </c>
      <c r="I360" s="227">
        <f t="shared" si="38"/>
        <v>67000</v>
      </c>
      <c r="J360" s="174"/>
      <c r="K360" s="153"/>
      <c r="L360" s="153"/>
      <c r="M360" s="153"/>
      <c r="N360" s="153"/>
      <c r="O360" s="153"/>
      <c r="P360" s="153"/>
      <c r="Q360" s="181"/>
      <c r="R360" s="181"/>
      <c r="S360" s="160"/>
      <c r="T360" s="160"/>
      <c r="U360" s="160"/>
    </row>
    <row r="361" spans="1:21" s="3" customFormat="1" ht="39.6" customHeight="1" x14ac:dyDescent="0.25">
      <c r="A361" s="31"/>
      <c r="B361" s="34" t="s">
        <v>43</v>
      </c>
      <c r="C361" s="33" t="s">
        <v>285</v>
      </c>
      <c r="D361" s="14" t="s">
        <v>14</v>
      </c>
      <c r="E361" s="15">
        <f>9*0.22*0.3</f>
        <v>0.59399999999999997</v>
      </c>
      <c r="F361" s="16">
        <v>1869307</v>
      </c>
      <c r="G361" s="17">
        <v>1</v>
      </c>
      <c r="H361" s="18">
        <f>ROUND(E361*F361*G361,-3)</f>
        <v>1110000</v>
      </c>
      <c r="I361" s="227">
        <f t="shared" si="38"/>
        <v>1110000</v>
      </c>
      <c r="J361" s="174"/>
      <c r="K361" s="153"/>
      <c r="L361" s="153"/>
      <c r="M361" s="153"/>
      <c r="N361" s="153"/>
      <c r="O361" s="153"/>
      <c r="P361" s="153"/>
      <c r="Q361" s="181"/>
      <c r="R361" s="181"/>
      <c r="S361" s="160"/>
      <c r="T361" s="160"/>
      <c r="U361" s="160"/>
    </row>
    <row r="362" spans="1:21" s="3" customFormat="1" ht="39.6" customHeight="1" x14ac:dyDescent="0.25">
      <c r="A362" s="31"/>
      <c r="B362" s="34" t="s">
        <v>44</v>
      </c>
      <c r="C362" s="33" t="s">
        <v>262</v>
      </c>
      <c r="D362" s="14" t="s">
        <v>14</v>
      </c>
      <c r="E362" s="15">
        <f>9*0.11*0.5</f>
        <v>0.495</v>
      </c>
      <c r="F362" s="16">
        <v>2218558</v>
      </c>
      <c r="G362" s="17">
        <v>1</v>
      </c>
      <c r="H362" s="18">
        <f>ROUND(E362*F362*G362,-3)</f>
        <v>1098000</v>
      </c>
      <c r="I362" s="227">
        <f t="shared" si="38"/>
        <v>1098000</v>
      </c>
      <c r="J362" s="174"/>
      <c r="K362" s="153"/>
      <c r="L362" s="153"/>
      <c r="M362" s="153"/>
      <c r="N362" s="153"/>
      <c r="O362" s="153"/>
      <c r="P362" s="153"/>
      <c r="Q362" s="181"/>
      <c r="R362" s="181"/>
      <c r="S362" s="160"/>
      <c r="T362" s="160"/>
      <c r="U362" s="160"/>
    </row>
    <row r="363" spans="1:21" s="44" customFormat="1" ht="26.1" customHeight="1" x14ac:dyDescent="0.25">
      <c r="A363" s="55"/>
      <c r="B363" s="56" t="s">
        <v>107</v>
      </c>
      <c r="C363" s="57" t="s">
        <v>307</v>
      </c>
      <c r="D363" s="58" t="s">
        <v>13</v>
      </c>
      <c r="E363" s="59">
        <f>9*0.5*2</f>
        <v>9</v>
      </c>
      <c r="F363" s="60">
        <v>322987</v>
      </c>
      <c r="G363" s="251">
        <v>1</v>
      </c>
      <c r="H363" s="54">
        <f t="shared" ref="H363:H365" si="43">ROUND(E363*F363*G363,-3)</f>
        <v>2907000</v>
      </c>
      <c r="I363" s="227">
        <f t="shared" si="38"/>
        <v>2907000</v>
      </c>
      <c r="J363" s="207"/>
      <c r="K363" s="207"/>
      <c r="L363" s="207"/>
      <c r="M363" s="207"/>
      <c r="N363" s="207"/>
      <c r="O363" s="208"/>
      <c r="P363" s="208"/>
      <c r="Q363" s="172"/>
      <c r="R363" s="172"/>
      <c r="S363" s="166"/>
      <c r="T363" s="166"/>
      <c r="U363" s="166"/>
    </row>
    <row r="364" spans="1:21" s="6" customFormat="1" ht="40.5" customHeight="1" x14ac:dyDescent="0.25">
      <c r="A364" s="40"/>
      <c r="B364" s="35" t="s">
        <v>308</v>
      </c>
      <c r="C364" s="41" t="s">
        <v>276</v>
      </c>
      <c r="D364" s="14" t="s">
        <v>14</v>
      </c>
      <c r="E364" s="42">
        <f>0.2*0.2*0.9*4</f>
        <v>0.14400000000000004</v>
      </c>
      <c r="F364" s="16">
        <v>2543957</v>
      </c>
      <c r="G364" s="243">
        <v>1</v>
      </c>
      <c r="H364" s="43">
        <f t="shared" si="43"/>
        <v>366000</v>
      </c>
      <c r="I364" s="227">
        <f t="shared" si="38"/>
        <v>366000</v>
      </c>
      <c r="J364" s="202"/>
      <c r="K364" s="202"/>
      <c r="L364" s="202"/>
      <c r="M364" s="202"/>
      <c r="N364" s="202"/>
      <c r="O364" s="203"/>
      <c r="P364" s="204"/>
      <c r="Q364" s="158"/>
      <c r="R364" s="158"/>
      <c r="S364" s="164"/>
      <c r="T364" s="164"/>
      <c r="U364" s="164"/>
    </row>
    <row r="365" spans="1:21" s="6" customFormat="1" ht="26.1" customHeight="1" x14ac:dyDescent="0.25">
      <c r="A365" s="55"/>
      <c r="B365" s="56" t="s">
        <v>106</v>
      </c>
      <c r="C365" s="57" t="s">
        <v>307</v>
      </c>
      <c r="D365" s="58" t="s">
        <v>13</v>
      </c>
      <c r="E365" s="59">
        <f>0.2*9*4*4</f>
        <v>28.8</v>
      </c>
      <c r="F365" s="60">
        <v>322987</v>
      </c>
      <c r="G365" s="251">
        <v>1</v>
      </c>
      <c r="H365" s="54">
        <f t="shared" si="43"/>
        <v>9302000</v>
      </c>
      <c r="I365" s="227">
        <f t="shared" si="38"/>
        <v>9302000</v>
      </c>
      <c r="J365" s="202"/>
      <c r="K365" s="202"/>
      <c r="L365" s="202"/>
      <c r="M365" s="202"/>
      <c r="N365" s="202"/>
      <c r="O365" s="203"/>
      <c r="P365" s="204"/>
      <c r="Q365" s="158"/>
      <c r="R365" s="158"/>
      <c r="S365" s="164"/>
      <c r="T365" s="164"/>
      <c r="U365" s="164"/>
    </row>
    <row r="366" spans="1:21" s="10" customFormat="1" ht="39.6" customHeight="1" x14ac:dyDescent="0.25">
      <c r="A366" s="102">
        <v>6</v>
      </c>
      <c r="B366" s="450" t="s">
        <v>108</v>
      </c>
      <c r="C366" s="451"/>
      <c r="D366" s="451"/>
      <c r="E366" s="451"/>
      <c r="F366" s="452"/>
      <c r="G366" s="106"/>
      <c r="H366" s="104">
        <f>SUM(H367:H370)</f>
        <v>1349000</v>
      </c>
      <c r="I366" s="227">
        <f t="shared" si="38"/>
        <v>0</v>
      </c>
      <c r="J366" s="211"/>
      <c r="K366" s="169"/>
      <c r="L366" s="169"/>
      <c r="M366" s="169"/>
      <c r="N366" s="169"/>
      <c r="O366" s="169"/>
      <c r="P366" s="169"/>
      <c r="Q366" s="212"/>
      <c r="R366" s="212"/>
      <c r="S366" s="170"/>
      <c r="T366" s="170"/>
      <c r="U366" s="170"/>
    </row>
    <row r="367" spans="1:21" s="3" customFormat="1" ht="26.1" customHeight="1" x14ac:dyDescent="0.25">
      <c r="A367" s="31"/>
      <c r="B367" s="34" t="s">
        <v>41</v>
      </c>
      <c r="C367" s="33" t="s">
        <v>284</v>
      </c>
      <c r="D367" s="14" t="s">
        <v>14</v>
      </c>
      <c r="E367" s="15">
        <f>9*0.3*0.2</f>
        <v>0.53999999999999992</v>
      </c>
      <c r="F367" s="16">
        <v>266100</v>
      </c>
      <c r="G367" s="17">
        <v>1</v>
      </c>
      <c r="H367" s="18">
        <f t="shared" ref="H367:H372" si="44">ROUND(E367*F367*G367,-3)</f>
        <v>144000</v>
      </c>
      <c r="I367" s="227">
        <f t="shared" si="38"/>
        <v>144000</v>
      </c>
      <c r="J367" s="174"/>
      <c r="K367" s="153"/>
      <c r="L367" s="153"/>
      <c r="M367" s="153"/>
      <c r="N367" s="153"/>
      <c r="O367" s="153"/>
      <c r="P367" s="153"/>
      <c r="Q367" s="181"/>
      <c r="R367" s="181"/>
      <c r="S367" s="160"/>
      <c r="T367" s="160"/>
      <c r="U367" s="160"/>
    </row>
    <row r="368" spans="1:21" s="3" customFormat="1" ht="26.1" customHeight="1" x14ac:dyDescent="0.25">
      <c r="A368" s="31"/>
      <c r="B368" s="34" t="s">
        <v>42</v>
      </c>
      <c r="C368" s="33" t="s">
        <v>274</v>
      </c>
      <c r="D368" s="14" t="s">
        <v>14</v>
      </c>
      <c r="E368" s="15">
        <f>E367/3</f>
        <v>0.17999999999999997</v>
      </c>
      <c r="F368" s="16">
        <v>185275</v>
      </c>
      <c r="G368" s="17">
        <v>1</v>
      </c>
      <c r="H368" s="18">
        <f t="shared" si="44"/>
        <v>33000</v>
      </c>
      <c r="I368" s="227">
        <f t="shared" si="38"/>
        <v>33000</v>
      </c>
      <c r="J368" s="174"/>
      <c r="K368" s="153"/>
      <c r="L368" s="153"/>
      <c r="M368" s="153"/>
      <c r="N368" s="153"/>
      <c r="O368" s="153"/>
      <c r="P368" s="153"/>
      <c r="Q368" s="181"/>
      <c r="R368" s="181"/>
      <c r="S368" s="160"/>
      <c r="T368" s="160"/>
      <c r="U368" s="160"/>
    </row>
    <row r="369" spans="1:21" s="3" customFormat="1" ht="29.45" customHeight="1" x14ac:dyDescent="0.25">
      <c r="A369" s="31"/>
      <c r="B369" s="34" t="s">
        <v>49</v>
      </c>
      <c r="C369" s="33" t="s">
        <v>289</v>
      </c>
      <c r="D369" s="14" t="s">
        <v>14</v>
      </c>
      <c r="E369" s="15">
        <f>9*0.22*0.2</f>
        <v>0.39600000000000002</v>
      </c>
      <c r="F369" s="16">
        <v>1952153</v>
      </c>
      <c r="G369" s="17">
        <v>1</v>
      </c>
      <c r="H369" s="18">
        <f t="shared" si="44"/>
        <v>773000</v>
      </c>
      <c r="I369" s="227">
        <f t="shared" si="38"/>
        <v>773000</v>
      </c>
      <c r="J369" s="174"/>
      <c r="K369" s="153"/>
      <c r="L369" s="153"/>
      <c r="M369" s="153"/>
      <c r="N369" s="153"/>
      <c r="O369" s="153"/>
      <c r="P369" s="153"/>
      <c r="Q369" s="181"/>
      <c r="R369" s="181"/>
      <c r="S369" s="160"/>
      <c r="T369" s="160"/>
      <c r="U369" s="160"/>
    </row>
    <row r="370" spans="1:21" s="3" customFormat="1" ht="36.6" customHeight="1" x14ac:dyDescent="0.25">
      <c r="A370" s="31"/>
      <c r="B370" s="34" t="s">
        <v>50</v>
      </c>
      <c r="C370" s="33" t="s">
        <v>290</v>
      </c>
      <c r="D370" s="14" t="s">
        <v>14</v>
      </c>
      <c r="E370" s="15">
        <f>9*0.11*0.2</f>
        <v>0.19800000000000001</v>
      </c>
      <c r="F370" s="16">
        <v>2013297</v>
      </c>
      <c r="G370" s="17">
        <v>1</v>
      </c>
      <c r="H370" s="18">
        <f t="shared" si="44"/>
        <v>399000</v>
      </c>
      <c r="I370" s="227">
        <f t="shared" si="38"/>
        <v>399000</v>
      </c>
      <c r="J370" s="174"/>
      <c r="K370" s="153"/>
      <c r="L370" s="153"/>
      <c r="M370" s="153"/>
      <c r="N370" s="153"/>
      <c r="O370" s="153"/>
      <c r="P370" s="153"/>
      <c r="Q370" s="181"/>
      <c r="R370" s="181"/>
      <c r="S370" s="160"/>
      <c r="T370" s="160"/>
      <c r="U370" s="160"/>
    </row>
    <row r="371" spans="1:21" s="44" customFormat="1" ht="37.5" customHeight="1" x14ac:dyDescent="0.25">
      <c r="A371" s="61">
        <v>7</v>
      </c>
      <c r="B371" s="62" t="s">
        <v>332</v>
      </c>
      <c r="C371" s="63" t="s">
        <v>333</v>
      </c>
      <c r="D371" s="61" t="s">
        <v>13</v>
      </c>
      <c r="E371" s="64">
        <f>10.3*6+2.85*5.85</f>
        <v>78.472499999999997</v>
      </c>
      <c r="F371" s="65">
        <v>208945</v>
      </c>
      <c r="G371" s="250">
        <v>1</v>
      </c>
      <c r="H371" s="66">
        <f t="shared" si="44"/>
        <v>16396000</v>
      </c>
      <c r="I371" s="227">
        <f t="shared" si="38"/>
        <v>16396000</v>
      </c>
      <c r="J371" s="207"/>
      <c r="K371" s="207"/>
      <c r="L371" s="207"/>
      <c r="M371" s="207"/>
      <c r="N371" s="207"/>
      <c r="O371" s="208"/>
      <c r="P371" s="208"/>
      <c r="Q371" s="165"/>
      <c r="R371" s="165"/>
      <c r="S371" s="166"/>
      <c r="T371" s="166"/>
      <c r="U371" s="166"/>
    </row>
    <row r="372" spans="1:21" s="44" customFormat="1" ht="37.5" customHeight="1" x14ac:dyDescent="0.25">
      <c r="A372" s="61">
        <v>8</v>
      </c>
      <c r="B372" s="62" t="s">
        <v>109</v>
      </c>
      <c r="C372" s="63" t="s">
        <v>110</v>
      </c>
      <c r="D372" s="61" t="s">
        <v>34</v>
      </c>
      <c r="E372" s="64">
        <v>4</v>
      </c>
      <c r="F372" s="65">
        <v>58000</v>
      </c>
      <c r="G372" s="250">
        <v>1</v>
      </c>
      <c r="H372" s="66">
        <f t="shared" si="44"/>
        <v>232000</v>
      </c>
      <c r="I372" s="227">
        <f t="shared" si="38"/>
        <v>232000</v>
      </c>
      <c r="J372" s="207"/>
      <c r="K372" s="207"/>
      <c r="L372" s="207"/>
      <c r="M372" s="207"/>
      <c r="N372" s="207"/>
      <c r="O372" s="208"/>
      <c r="P372" s="208"/>
      <c r="Q372" s="165"/>
      <c r="R372" s="165"/>
      <c r="S372" s="166"/>
      <c r="T372" s="166"/>
      <c r="U372" s="166"/>
    </row>
    <row r="373" spans="1:21" s="10" customFormat="1" ht="39.6" customHeight="1" x14ac:dyDescent="0.25">
      <c r="A373" s="102">
        <v>9</v>
      </c>
      <c r="B373" s="450" t="s">
        <v>376</v>
      </c>
      <c r="C373" s="451"/>
      <c r="D373" s="451"/>
      <c r="E373" s="451"/>
      <c r="F373" s="452"/>
      <c r="G373" s="106"/>
      <c r="H373" s="104">
        <f>SUM(H374:H391)</f>
        <v>32169000</v>
      </c>
      <c r="I373" s="227">
        <f t="shared" si="38"/>
        <v>0</v>
      </c>
      <c r="J373" s="211"/>
      <c r="K373" s="169"/>
      <c r="L373" s="169"/>
      <c r="M373" s="169"/>
      <c r="N373" s="169"/>
      <c r="O373" s="169"/>
      <c r="P373" s="169"/>
      <c r="Q373" s="212"/>
      <c r="R373" s="212"/>
      <c r="S373" s="170"/>
      <c r="T373" s="170"/>
      <c r="U373" s="170"/>
    </row>
    <row r="374" spans="1:21" s="3" customFormat="1" ht="26.1" customHeight="1" x14ac:dyDescent="0.25">
      <c r="A374" s="31"/>
      <c r="B374" s="34" t="s">
        <v>386</v>
      </c>
      <c r="C374" s="33" t="s">
        <v>375</v>
      </c>
      <c r="D374" s="14" t="s">
        <v>13</v>
      </c>
      <c r="E374" s="15">
        <f>4.45*1.55</f>
        <v>6.8975000000000009</v>
      </c>
      <c r="F374" s="16">
        <v>1199204</v>
      </c>
      <c r="G374" s="17">
        <v>1</v>
      </c>
      <c r="H374" s="18">
        <f t="shared" ref="H374:H391" si="45">ROUND(E374*F374*G374,-3)</f>
        <v>8272000</v>
      </c>
      <c r="I374" s="227">
        <f t="shared" si="38"/>
        <v>8272000</v>
      </c>
      <c r="J374" s="174"/>
      <c r="K374" s="153"/>
      <c r="L374" s="153"/>
      <c r="M374" s="153"/>
      <c r="N374" s="153"/>
      <c r="O374" s="153"/>
      <c r="P374" s="153"/>
      <c r="Q374" s="181"/>
      <c r="R374" s="181"/>
      <c r="S374" s="160"/>
      <c r="T374" s="160"/>
      <c r="U374" s="160"/>
    </row>
    <row r="375" spans="1:21" s="44" customFormat="1" ht="40.5" customHeight="1" x14ac:dyDescent="0.25">
      <c r="A375" s="40"/>
      <c r="B375" s="34" t="s">
        <v>387</v>
      </c>
      <c r="C375" s="41" t="s">
        <v>27</v>
      </c>
      <c r="D375" s="14" t="s">
        <v>14</v>
      </c>
      <c r="E375" s="42">
        <f>0.25*0.25*0.8*2</f>
        <v>0.1</v>
      </c>
      <c r="F375" s="16">
        <v>1920850</v>
      </c>
      <c r="G375" s="243">
        <v>1</v>
      </c>
      <c r="H375" s="43">
        <f t="shared" si="45"/>
        <v>192000</v>
      </c>
      <c r="I375" s="227">
        <f t="shared" si="38"/>
        <v>192000</v>
      </c>
      <c r="J375" s="207"/>
      <c r="K375" s="207"/>
      <c r="L375" s="207"/>
      <c r="M375" s="207"/>
      <c r="N375" s="207"/>
      <c r="O375" s="208"/>
      <c r="P375" s="208"/>
      <c r="Q375" s="172"/>
      <c r="R375" s="172"/>
      <c r="S375" s="166"/>
      <c r="T375" s="166"/>
      <c r="U375" s="166"/>
    </row>
    <row r="376" spans="1:21" s="3" customFormat="1" ht="26.1" customHeight="1" x14ac:dyDescent="0.25">
      <c r="A376" s="31"/>
      <c r="B376" s="34" t="s">
        <v>388</v>
      </c>
      <c r="C376" s="33" t="s">
        <v>110</v>
      </c>
      <c r="D376" s="14" t="s">
        <v>155</v>
      </c>
      <c r="E376" s="15">
        <v>28</v>
      </c>
      <c r="F376" s="16">
        <v>45000</v>
      </c>
      <c r="G376" s="17">
        <v>1</v>
      </c>
      <c r="H376" s="18">
        <f t="shared" si="45"/>
        <v>1260000</v>
      </c>
      <c r="I376" s="227">
        <f t="shared" si="38"/>
        <v>1260000</v>
      </c>
      <c r="J376" s="174"/>
      <c r="K376" s="153"/>
      <c r="L376" s="153"/>
      <c r="M376" s="153"/>
      <c r="N376" s="153"/>
      <c r="O376" s="153"/>
      <c r="P376" s="153"/>
      <c r="Q376" s="181"/>
      <c r="R376" s="181"/>
      <c r="S376" s="160"/>
      <c r="T376" s="160"/>
      <c r="U376" s="160"/>
    </row>
    <row r="377" spans="1:21" s="3" customFormat="1" ht="26.1" customHeight="1" x14ac:dyDescent="0.25">
      <c r="A377" s="31"/>
      <c r="B377" s="447" t="s">
        <v>377</v>
      </c>
      <c r="C377" s="448"/>
      <c r="D377" s="448"/>
      <c r="E377" s="448"/>
      <c r="F377" s="449"/>
      <c r="G377" s="17"/>
      <c r="H377" s="18"/>
      <c r="I377" s="227">
        <f t="shared" si="38"/>
        <v>0</v>
      </c>
      <c r="J377" s="174"/>
      <c r="K377" s="153"/>
      <c r="L377" s="153"/>
      <c r="M377" s="153"/>
      <c r="N377" s="153"/>
      <c r="O377" s="153"/>
      <c r="P377" s="153"/>
      <c r="Q377" s="181"/>
      <c r="R377" s="181"/>
      <c r="S377" s="160"/>
      <c r="T377" s="160"/>
      <c r="U377" s="160"/>
    </row>
    <row r="378" spans="1:21" s="3" customFormat="1" ht="26.1" customHeight="1" x14ac:dyDescent="0.25">
      <c r="A378" s="31"/>
      <c r="B378" s="32" t="s">
        <v>38</v>
      </c>
      <c r="C378" s="33" t="s">
        <v>279</v>
      </c>
      <c r="D378" s="14" t="s">
        <v>14</v>
      </c>
      <c r="E378" s="15">
        <f>7.55*0.2*0.1</f>
        <v>0.15100000000000002</v>
      </c>
      <c r="F378" s="16">
        <v>2687552</v>
      </c>
      <c r="G378" s="17">
        <v>1</v>
      </c>
      <c r="H378" s="18">
        <f t="shared" ref="H378:H383" si="46">ROUND(E378*F378*G378,-3)</f>
        <v>406000</v>
      </c>
      <c r="I378" s="227">
        <f t="shared" si="38"/>
        <v>406000</v>
      </c>
      <c r="J378" s="174"/>
      <c r="K378" s="153"/>
      <c r="L378" s="153"/>
      <c r="M378" s="153"/>
      <c r="N378" s="153"/>
      <c r="O378" s="153"/>
      <c r="P378" s="153"/>
      <c r="Q378" s="181"/>
      <c r="R378" s="181"/>
      <c r="S378" s="160"/>
      <c r="T378" s="160"/>
      <c r="U378" s="160"/>
    </row>
    <row r="379" spans="1:21" s="3" customFormat="1" ht="30" customHeight="1" x14ac:dyDescent="0.25">
      <c r="A379" s="31"/>
      <c r="B379" s="105" t="s">
        <v>57</v>
      </c>
      <c r="C379" s="33" t="s">
        <v>287</v>
      </c>
      <c r="D379" s="14" t="s">
        <v>15</v>
      </c>
      <c r="E379" s="15">
        <f>7.55*0.617*4</f>
        <v>18.633399999999998</v>
      </c>
      <c r="F379" s="16">
        <v>26514</v>
      </c>
      <c r="G379" s="17">
        <v>1</v>
      </c>
      <c r="H379" s="18">
        <f t="shared" si="46"/>
        <v>494000</v>
      </c>
      <c r="I379" s="227">
        <f t="shared" si="38"/>
        <v>494000</v>
      </c>
      <c r="J379" s="174"/>
      <c r="K379" s="153"/>
      <c r="L379" s="153"/>
      <c r="M379" s="153"/>
      <c r="N379" s="153"/>
      <c r="O379" s="153"/>
      <c r="P379" s="153"/>
      <c r="Q379" s="181"/>
      <c r="R379" s="181"/>
      <c r="S379" s="160"/>
      <c r="T379" s="160"/>
      <c r="U379" s="160"/>
    </row>
    <row r="380" spans="1:21" s="6" customFormat="1" ht="41.25" customHeight="1" x14ac:dyDescent="0.25">
      <c r="A380" s="40"/>
      <c r="B380" s="100" t="s">
        <v>31</v>
      </c>
      <c r="C380" s="41" t="s">
        <v>281</v>
      </c>
      <c r="D380" s="14" t="s">
        <v>13</v>
      </c>
      <c r="E380" s="42">
        <f>(7.55+0.2)*2*0.1</f>
        <v>1.55</v>
      </c>
      <c r="F380" s="16">
        <v>187964</v>
      </c>
      <c r="G380" s="243">
        <v>1</v>
      </c>
      <c r="H380" s="43">
        <f t="shared" si="46"/>
        <v>291000</v>
      </c>
      <c r="I380" s="227">
        <f t="shared" si="38"/>
        <v>291000</v>
      </c>
      <c r="J380" s="202"/>
      <c r="K380" s="202"/>
      <c r="L380" s="202"/>
      <c r="M380" s="202"/>
      <c r="N380" s="202"/>
      <c r="O380" s="203"/>
      <c r="P380" s="204"/>
      <c r="Q380" s="158"/>
      <c r="R380" s="158"/>
      <c r="S380" s="164"/>
      <c r="T380" s="164"/>
      <c r="U380" s="164"/>
    </row>
    <row r="381" spans="1:21" s="6" customFormat="1" ht="31.15" customHeight="1" x14ac:dyDescent="0.25">
      <c r="A381" s="40"/>
      <c r="B381" s="101" t="s">
        <v>389</v>
      </c>
      <c r="C381" s="41" t="s">
        <v>192</v>
      </c>
      <c r="D381" s="14" t="s">
        <v>34</v>
      </c>
      <c r="E381" s="42">
        <v>10.65</v>
      </c>
      <c r="F381" s="16">
        <v>109403</v>
      </c>
      <c r="G381" s="243">
        <v>1</v>
      </c>
      <c r="H381" s="43">
        <f t="shared" si="46"/>
        <v>1165000</v>
      </c>
      <c r="I381" s="227">
        <f t="shared" si="38"/>
        <v>1165000</v>
      </c>
      <c r="J381" s="205"/>
      <c r="K381" s="205"/>
      <c r="L381" s="205"/>
      <c r="M381" s="205"/>
      <c r="N381" s="205"/>
      <c r="O381" s="164"/>
      <c r="P381" s="206"/>
      <c r="Q381" s="158"/>
      <c r="R381" s="158"/>
      <c r="S381" s="164"/>
      <c r="T381" s="164"/>
      <c r="U381" s="164"/>
    </row>
    <row r="382" spans="1:21" s="6" customFormat="1" ht="42" customHeight="1" x14ac:dyDescent="0.25">
      <c r="A382" s="40"/>
      <c r="B382" s="101" t="s">
        <v>390</v>
      </c>
      <c r="C382" s="41" t="s">
        <v>282</v>
      </c>
      <c r="D382" s="14" t="s">
        <v>34</v>
      </c>
      <c r="E382" s="42">
        <v>7.55</v>
      </c>
      <c r="F382" s="16">
        <v>99700</v>
      </c>
      <c r="G382" s="243">
        <v>1</v>
      </c>
      <c r="H382" s="43">
        <f t="shared" si="46"/>
        <v>753000</v>
      </c>
      <c r="I382" s="227">
        <f t="shared" si="38"/>
        <v>753000</v>
      </c>
      <c r="J382" s="205"/>
      <c r="K382" s="205"/>
      <c r="L382" s="205"/>
      <c r="M382" s="205"/>
      <c r="N382" s="205"/>
      <c r="O382" s="164"/>
      <c r="P382" s="206"/>
      <c r="Q382" s="158"/>
      <c r="R382" s="158"/>
      <c r="S382" s="164"/>
      <c r="T382" s="164"/>
      <c r="U382" s="164"/>
    </row>
    <row r="383" spans="1:21" s="3" customFormat="1" ht="34.9" customHeight="1" x14ac:dyDescent="0.25">
      <c r="A383" s="31"/>
      <c r="B383" s="34" t="s">
        <v>391</v>
      </c>
      <c r="C383" s="33" t="s">
        <v>18</v>
      </c>
      <c r="D383" s="14" t="s">
        <v>14</v>
      </c>
      <c r="E383" s="15">
        <f>7.55*0.11*0.2</f>
        <v>0.16610000000000003</v>
      </c>
      <c r="F383" s="16">
        <v>1815863</v>
      </c>
      <c r="G383" s="17">
        <v>1</v>
      </c>
      <c r="H383" s="18">
        <f t="shared" si="46"/>
        <v>302000</v>
      </c>
      <c r="I383" s="227">
        <f t="shared" si="38"/>
        <v>302000</v>
      </c>
      <c r="J383" s="174"/>
      <c r="K383" s="153"/>
      <c r="L383" s="153"/>
      <c r="M383" s="153"/>
      <c r="N383" s="153"/>
      <c r="O383" s="153"/>
      <c r="P383" s="153"/>
      <c r="Q383" s="181"/>
      <c r="R383" s="181"/>
      <c r="S383" s="160"/>
      <c r="T383" s="160"/>
      <c r="U383" s="160"/>
    </row>
    <row r="384" spans="1:21" s="3" customFormat="1" ht="26.1" customHeight="1" x14ac:dyDescent="0.25">
      <c r="A384" s="31"/>
      <c r="B384" s="447" t="s">
        <v>378</v>
      </c>
      <c r="C384" s="448"/>
      <c r="D384" s="448"/>
      <c r="E384" s="448"/>
      <c r="F384" s="449"/>
      <c r="G384" s="17"/>
      <c r="H384" s="18"/>
      <c r="I384" s="227">
        <f t="shared" si="38"/>
        <v>0</v>
      </c>
      <c r="J384" s="174"/>
      <c r="K384" s="153"/>
      <c r="L384" s="153"/>
      <c r="M384" s="153"/>
      <c r="N384" s="153"/>
      <c r="O384" s="153"/>
      <c r="P384" s="153"/>
      <c r="Q384" s="181"/>
      <c r="R384" s="181"/>
      <c r="S384" s="160"/>
      <c r="T384" s="160"/>
      <c r="U384" s="160"/>
    </row>
    <row r="385" spans="1:21" s="3" customFormat="1" ht="26.1" customHeight="1" x14ac:dyDescent="0.25">
      <c r="A385" s="31"/>
      <c r="B385" s="34" t="s">
        <v>41</v>
      </c>
      <c r="C385" s="33" t="s">
        <v>284</v>
      </c>
      <c r="D385" s="14" t="s">
        <v>14</v>
      </c>
      <c r="E385" s="15">
        <f>7.55*1*1</f>
        <v>7.55</v>
      </c>
      <c r="F385" s="16">
        <v>266100</v>
      </c>
      <c r="G385" s="17">
        <v>1</v>
      </c>
      <c r="H385" s="18">
        <f t="shared" ref="H385:H387" si="47">ROUND(E385*F385*G385,-3)</f>
        <v>2009000</v>
      </c>
      <c r="I385" s="227">
        <f t="shared" si="38"/>
        <v>2009000</v>
      </c>
      <c r="J385" s="174"/>
      <c r="K385" s="153"/>
      <c r="L385" s="153"/>
      <c r="M385" s="153"/>
      <c r="N385" s="153"/>
      <c r="O385" s="153"/>
      <c r="P385" s="153"/>
      <c r="Q385" s="181"/>
      <c r="R385" s="181"/>
      <c r="S385" s="160"/>
      <c r="T385" s="160"/>
      <c r="U385" s="160"/>
    </row>
    <row r="386" spans="1:21" s="3" customFormat="1" ht="26.1" customHeight="1" x14ac:dyDescent="0.25">
      <c r="A386" s="31"/>
      <c r="B386" s="34" t="s">
        <v>42</v>
      </c>
      <c r="C386" s="33" t="s">
        <v>274</v>
      </c>
      <c r="D386" s="14" t="s">
        <v>14</v>
      </c>
      <c r="E386" s="15">
        <f>E385/3</f>
        <v>2.5166666666666666</v>
      </c>
      <c r="F386" s="16">
        <v>185275</v>
      </c>
      <c r="G386" s="17">
        <v>1</v>
      </c>
      <c r="H386" s="18">
        <f t="shared" si="47"/>
        <v>466000</v>
      </c>
      <c r="I386" s="227">
        <f t="shared" si="38"/>
        <v>466000</v>
      </c>
      <c r="J386" s="174"/>
      <c r="K386" s="153"/>
      <c r="L386" s="153"/>
      <c r="M386" s="153"/>
      <c r="N386" s="153"/>
      <c r="O386" s="153"/>
      <c r="P386" s="153"/>
      <c r="Q386" s="181"/>
      <c r="R386" s="181"/>
      <c r="S386" s="160"/>
      <c r="T386" s="160"/>
      <c r="U386" s="160"/>
    </row>
    <row r="387" spans="1:21" s="3" customFormat="1" ht="29.45" customHeight="1" x14ac:dyDescent="0.25">
      <c r="A387" s="31"/>
      <c r="B387" s="34" t="s">
        <v>379</v>
      </c>
      <c r="C387" s="109" t="s">
        <v>275</v>
      </c>
      <c r="D387" s="14" t="s">
        <v>14</v>
      </c>
      <c r="E387" s="15">
        <f>9*0.22*0.2</f>
        <v>0.39600000000000002</v>
      </c>
      <c r="F387" s="16">
        <v>2324553</v>
      </c>
      <c r="G387" s="17">
        <v>1</v>
      </c>
      <c r="H387" s="18">
        <f t="shared" si="47"/>
        <v>921000</v>
      </c>
      <c r="I387" s="227">
        <f t="shared" si="38"/>
        <v>921000</v>
      </c>
      <c r="J387" s="174"/>
      <c r="K387" s="153"/>
      <c r="L387" s="153"/>
      <c r="M387" s="153"/>
      <c r="N387" s="153"/>
      <c r="O387" s="153"/>
      <c r="P387" s="153"/>
      <c r="Q387" s="181"/>
      <c r="R387" s="181"/>
      <c r="S387" s="160"/>
      <c r="T387" s="160"/>
      <c r="U387" s="160"/>
    </row>
    <row r="388" spans="1:21" s="3" customFormat="1" ht="29.45" customHeight="1" x14ac:dyDescent="0.25">
      <c r="A388" s="31"/>
      <c r="B388" s="34" t="s">
        <v>380</v>
      </c>
      <c r="C388" s="33" t="s">
        <v>285</v>
      </c>
      <c r="D388" s="14" t="s">
        <v>14</v>
      </c>
      <c r="E388" s="15">
        <f>(7.55*0.8*0.33)+(7.55*0.6*0.33)+(7.55*0.4*0.34)</f>
        <v>4.5149000000000008</v>
      </c>
      <c r="F388" s="16">
        <v>1869307</v>
      </c>
      <c r="G388" s="17">
        <v>1</v>
      </c>
      <c r="H388" s="18">
        <f t="shared" si="45"/>
        <v>8440000</v>
      </c>
      <c r="I388" s="227">
        <f t="shared" si="38"/>
        <v>8440000</v>
      </c>
      <c r="J388" s="174"/>
      <c r="K388" s="153"/>
      <c r="L388" s="153"/>
      <c r="M388" s="153"/>
      <c r="N388" s="153"/>
      <c r="O388" s="153"/>
      <c r="P388" s="153"/>
      <c r="Q388" s="181"/>
      <c r="R388" s="181"/>
      <c r="S388" s="160"/>
      <c r="T388" s="160"/>
      <c r="U388" s="160"/>
    </row>
    <row r="389" spans="1:21" s="3" customFormat="1" ht="29.25" customHeight="1" x14ac:dyDescent="0.25">
      <c r="A389" s="31"/>
      <c r="B389" s="34" t="s">
        <v>381</v>
      </c>
      <c r="C389" s="33" t="s">
        <v>70</v>
      </c>
      <c r="D389" s="14" t="s">
        <v>14</v>
      </c>
      <c r="E389" s="15">
        <f>(7.55*0.11*0.2)+(4.9*0.11*0.1)</f>
        <v>0.22000000000000003</v>
      </c>
      <c r="F389" s="16">
        <v>1637881</v>
      </c>
      <c r="G389" s="17">
        <v>1</v>
      </c>
      <c r="H389" s="18">
        <f t="shared" si="45"/>
        <v>360000</v>
      </c>
      <c r="I389" s="227">
        <f t="shared" si="38"/>
        <v>360000</v>
      </c>
      <c r="J389" s="174"/>
      <c r="K389" s="153"/>
      <c r="L389" s="153"/>
      <c r="M389" s="153"/>
      <c r="N389" s="153"/>
      <c r="O389" s="153"/>
      <c r="P389" s="153"/>
      <c r="Q389" s="181"/>
      <c r="R389" s="181"/>
      <c r="S389" s="160"/>
      <c r="T389" s="160"/>
      <c r="U389" s="160"/>
    </row>
    <row r="390" spans="1:21" s="3" customFormat="1" ht="27" customHeight="1" x14ac:dyDescent="0.25">
      <c r="A390" s="31"/>
      <c r="B390" s="34" t="s">
        <v>384</v>
      </c>
      <c r="C390" s="33" t="s">
        <v>385</v>
      </c>
      <c r="D390" s="14" t="s">
        <v>14</v>
      </c>
      <c r="E390" s="15">
        <f>4.45*(1.55+0.2)*0.08</f>
        <v>0.62300000000000011</v>
      </c>
      <c r="F390" s="16">
        <v>2309664</v>
      </c>
      <c r="G390" s="17">
        <v>1</v>
      </c>
      <c r="H390" s="18">
        <f t="shared" si="45"/>
        <v>1439000</v>
      </c>
      <c r="I390" s="227">
        <f t="shared" si="38"/>
        <v>1439000</v>
      </c>
      <c r="J390" s="174"/>
      <c r="K390" s="153"/>
      <c r="L390" s="153"/>
      <c r="M390" s="153"/>
      <c r="N390" s="153"/>
      <c r="O390" s="153"/>
      <c r="P390" s="153"/>
      <c r="Q390" s="181"/>
      <c r="R390" s="181"/>
      <c r="S390" s="160"/>
      <c r="T390" s="160"/>
      <c r="U390" s="160"/>
    </row>
    <row r="391" spans="1:21" s="3" customFormat="1" ht="30.75" customHeight="1" x14ac:dyDescent="0.25">
      <c r="A391" s="31"/>
      <c r="B391" s="34" t="s">
        <v>382</v>
      </c>
      <c r="C391" s="33" t="s">
        <v>383</v>
      </c>
      <c r="D391" s="14" t="s">
        <v>13</v>
      </c>
      <c r="E391" s="15">
        <f>4.45*(1.55+0.2)</f>
        <v>7.7875000000000005</v>
      </c>
      <c r="F391" s="16">
        <v>693261</v>
      </c>
      <c r="G391" s="17">
        <v>1</v>
      </c>
      <c r="H391" s="18">
        <f t="shared" si="45"/>
        <v>5399000</v>
      </c>
      <c r="I391" s="227">
        <f t="shared" ref="I391:I454" si="48">ROUND(G391*F391*E391,-3)</f>
        <v>5399000</v>
      </c>
      <c r="J391" s="174"/>
      <c r="K391" s="153"/>
      <c r="L391" s="153"/>
      <c r="M391" s="153"/>
      <c r="N391" s="153"/>
      <c r="O391" s="153"/>
      <c r="P391" s="153"/>
      <c r="Q391" s="181"/>
      <c r="R391" s="181"/>
      <c r="S391" s="160"/>
      <c r="T391" s="160"/>
      <c r="U391" s="160"/>
    </row>
    <row r="392" spans="1:21" s="3" customFormat="1" ht="59.25" customHeight="1" x14ac:dyDescent="0.25">
      <c r="A392" s="81" t="s">
        <v>236</v>
      </c>
      <c r="B392" s="148" t="s">
        <v>403</v>
      </c>
      <c r="C392" s="149"/>
      <c r="D392" s="40" t="s">
        <v>237</v>
      </c>
      <c r="E392" s="118">
        <v>1</v>
      </c>
      <c r="F392" s="126">
        <v>30000000</v>
      </c>
      <c r="G392" s="150">
        <v>1</v>
      </c>
      <c r="H392" s="82">
        <f>F392</f>
        <v>30000000</v>
      </c>
      <c r="I392" s="227">
        <f t="shared" si="48"/>
        <v>30000000</v>
      </c>
      <c r="J392" s="174"/>
      <c r="K392" s="153"/>
      <c r="L392" s="153"/>
      <c r="M392" s="153"/>
      <c r="N392" s="153"/>
      <c r="O392" s="153"/>
      <c r="P392" s="153"/>
      <c r="Q392" s="181"/>
      <c r="R392" s="181"/>
      <c r="S392" s="153">
        <f>H392</f>
        <v>30000000</v>
      </c>
      <c r="T392" s="160"/>
      <c r="U392" s="160"/>
    </row>
    <row r="393" spans="1:21" s="4" customFormat="1" ht="34.15" customHeight="1" x14ac:dyDescent="0.25">
      <c r="A393" s="81" t="s">
        <v>113</v>
      </c>
      <c r="B393" s="440" t="s">
        <v>411</v>
      </c>
      <c r="C393" s="440"/>
      <c r="D393" s="440"/>
      <c r="E393" s="440"/>
      <c r="F393" s="440"/>
      <c r="G393" s="440"/>
      <c r="H393" s="82">
        <f>H394+H398+H404</f>
        <v>57518000</v>
      </c>
      <c r="I393" s="227">
        <f t="shared" si="48"/>
        <v>0</v>
      </c>
      <c r="J393" s="174"/>
      <c r="K393" s="153"/>
      <c r="L393" s="153"/>
      <c r="M393" s="153"/>
      <c r="N393" s="153"/>
      <c r="O393" s="153"/>
      <c r="P393" s="153"/>
      <c r="Q393" s="188"/>
      <c r="R393" s="188"/>
      <c r="S393" s="155"/>
      <c r="T393" s="155"/>
      <c r="U393" s="155"/>
    </row>
    <row r="394" spans="1:21" s="9" customFormat="1" ht="63.75" customHeight="1" x14ac:dyDescent="0.25">
      <c r="A394" s="83" t="s">
        <v>11</v>
      </c>
      <c r="B394" s="446" t="s">
        <v>404</v>
      </c>
      <c r="C394" s="446"/>
      <c r="D394" s="446"/>
      <c r="E394" s="446"/>
      <c r="F394" s="446"/>
      <c r="G394" s="246"/>
      <c r="H394" s="84">
        <f>SUM(H395:H397)</f>
        <v>51330000</v>
      </c>
      <c r="I394" s="227">
        <f t="shared" si="48"/>
        <v>0</v>
      </c>
      <c r="J394" s="189"/>
      <c r="K394" s="175"/>
      <c r="L394" s="175"/>
      <c r="M394" s="175"/>
      <c r="N394" s="175"/>
      <c r="O394" s="175"/>
      <c r="P394" s="190"/>
      <c r="Q394" s="156"/>
      <c r="R394" s="156"/>
      <c r="S394" s="157"/>
      <c r="T394" s="157"/>
      <c r="U394" s="157"/>
    </row>
    <row r="395" spans="1:21" s="8" customFormat="1" ht="26.1" customHeight="1" x14ac:dyDescent="0.25">
      <c r="A395" s="85"/>
      <c r="B395" s="86" t="s">
        <v>239</v>
      </c>
      <c r="C395" s="87" t="s">
        <v>240</v>
      </c>
      <c r="D395" s="85" t="s">
        <v>13</v>
      </c>
      <c r="E395" s="92">
        <v>145.6</v>
      </c>
      <c r="F395" s="89">
        <v>75000</v>
      </c>
      <c r="G395" s="247">
        <v>1</v>
      </c>
      <c r="H395" s="91">
        <f>ROUND(E395*F395*G395,-3)</f>
        <v>10920000</v>
      </c>
      <c r="I395" s="227">
        <f t="shared" si="48"/>
        <v>10920000</v>
      </c>
      <c r="J395" s="191"/>
      <c r="K395" s="192">
        <f>H395</f>
        <v>10920000</v>
      </c>
      <c r="L395" s="192"/>
      <c r="M395" s="192"/>
      <c r="N395" s="192"/>
      <c r="O395" s="192"/>
      <c r="P395" s="193"/>
      <c r="Q395" s="158"/>
      <c r="R395" s="158"/>
      <c r="S395" s="159"/>
      <c r="T395" s="159"/>
      <c r="U395" s="159"/>
    </row>
    <row r="396" spans="1:21" s="8" customFormat="1" ht="40.5" customHeight="1" x14ac:dyDescent="0.25">
      <c r="A396" s="85"/>
      <c r="B396" s="86" t="s">
        <v>58</v>
      </c>
      <c r="C396" s="87"/>
      <c r="D396" s="85" t="s">
        <v>13</v>
      </c>
      <c r="E396" s="92">
        <f>E395</f>
        <v>145.6</v>
      </c>
      <c r="F396" s="89">
        <f>F395*3</f>
        <v>225000</v>
      </c>
      <c r="G396" s="247">
        <v>1</v>
      </c>
      <c r="H396" s="91">
        <f>ROUND(E396*F396*G396,-3)</f>
        <v>32760000</v>
      </c>
      <c r="I396" s="227">
        <f t="shared" si="48"/>
        <v>32760000</v>
      </c>
      <c r="J396" s="191"/>
      <c r="K396" s="192"/>
      <c r="L396" s="192">
        <f>H396</f>
        <v>32760000</v>
      </c>
      <c r="M396" s="192"/>
      <c r="N396" s="192"/>
      <c r="O396" s="192"/>
      <c r="P396" s="193"/>
      <c r="Q396" s="158"/>
      <c r="R396" s="158"/>
      <c r="S396" s="159"/>
      <c r="T396" s="159"/>
      <c r="U396" s="159"/>
    </row>
    <row r="397" spans="1:21" s="239" customFormat="1" ht="40.5" customHeight="1" x14ac:dyDescent="0.25">
      <c r="A397" s="85"/>
      <c r="B397" s="234" t="s">
        <v>393</v>
      </c>
      <c r="C397" s="87"/>
      <c r="D397" s="85" t="s">
        <v>396</v>
      </c>
      <c r="E397" s="88">
        <v>5</v>
      </c>
      <c r="F397" s="89">
        <f>30*17000*3</f>
        <v>1530000</v>
      </c>
      <c r="G397" s="247">
        <v>1</v>
      </c>
      <c r="H397" s="91">
        <f>ROUND(E397*F397*G397,-3)</f>
        <v>7650000</v>
      </c>
      <c r="I397" s="227">
        <f t="shared" si="48"/>
        <v>7650000</v>
      </c>
      <c r="J397" s="235"/>
      <c r="K397" s="236"/>
      <c r="L397" s="236"/>
      <c r="M397" s="236"/>
      <c r="N397" s="236">
        <f>H397</f>
        <v>7650000</v>
      </c>
      <c r="O397" s="236"/>
      <c r="P397" s="237"/>
      <c r="Q397" s="172"/>
      <c r="R397" s="172"/>
      <c r="S397" s="238"/>
      <c r="T397" s="238"/>
      <c r="U397" s="238"/>
    </row>
    <row r="398" spans="1:21" s="3" customFormat="1" ht="42" customHeight="1" x14ac:dyDescent="0.25">
      <c r="A398" s="97" t="s">
        <v>12</v>
      </c>
      <c r="B398" s="433" t="s">
        <v>372</v>
      </c>
      <c r="C398" s="433"/>
      <c r="D398" s="433"/>
      <c r="E398" s="433"/>
      <c r="F398" s="433"/>
      <c r="G398" s="433"/>
      <c r="H398" s="82">
        <f>H399</f>
        <v>1820000</v>
      </c>
      <c r="I398" s="227">
        <f t="shared" si="48"/>
        <v>0</v>
      </c>
      <c r="J398" s="174"/>
      <c r="K398" s="153"/>
      <c r="L398" s="153"/>
      <c r="M398" s="153"/>
      <c r="N398" s="153"/>
      <c r="O398" s="153"/>
      <c r="P398" s="153">
        <f>H398</f>
        <v>1820000</v>
      </c>
      <c r="Q398" s="181"/>
      <c r="R398" s="181"/>
      <c r="S398" s="160"/>
      <c r="T398" s="160"/>
      <c r="U398" s="160"/>
    </row>
    <row r="399" spans="1:21" s="10" customFormat="1" ht="39.6" customHeight="1" x14ac:dyDescent="0.25">
      <c r="A399" s="102"/>
      <c r="B399" s="450" t="s">
        <v>112</v>
      </c>
      <c r="C399" s="451"/>
      <c r="D399" s="451"/>
      <c r="E399" s="451"/>
      <c r="F399" s="452"/>
      <c r="G399" s="106"/>
      <c r="H399" s="104">
        <f>SUM(H400:H403)</f>
        <v>1820000</v>
      </c>
      <c r="I399" s="227">
        <f t="shared" si="48"/>
        <v>0</v>
      </c>
      <c r="J399" s="211"/>
      <c r="K399" s="169"/>
      <c r="L399" s="169"/>
      <c r="M399" s="169"/>
      <c r="N399" s="169"/>
      <c r="O399" s="169"/>
      <c r="P399" s="169"/>
      <c r="Q399" s="212"/>
      <c r="R399" s="212"/>
      <c r="S399" s="170"/>
      <c r="T399" s="170"/>
      <c r="U399" s="170"/>
    </row>
    <row r="400" spans="1:21" s="3" customFormat="1" ht="26.1" customHeight="1" x14ac:dyDescent="0.25">
      <c r="A400" s="31"/>
      <c r="B400" s="34" t="s">
        <v>41</v>
      </c>
      <c r="C400" s="33" t="s">
        <v>284</v>
      </c>
      <c r="D400" s="14" t="s">
        <v>14</v>
      </c>
      <c r="E400" s="15">
        <f>3.2*0.5*0.4</f>
        <v>0.64000000000000012</v>
      </c>
      <c r="F400" s="16">
        <v>266100</v>
      </c>
      <c r="G400" s="17">
        <v>1</v>
      </c>
      <c r="H400" s="18">
        <f t="shared" ref="H400:H403" si="49">ROUND(E400*F400*G400,-3)</f>
        <v>170000</v>
      </c>
      <c r="I400" s="227">
        <f t="shared" si="48"/>
        <v>170000</v>
      </c>
      <c r="J400" s="174"/>
      <c r="K400" s="153"/>
      <c r="L400" s="153"/>
      <c r="M400" s="153"/>
      <c r="N400" s="153"/>
      <c r="O400" s="153"/>
      <c r="P400" s="153"/>
      <c r="Q400" s="181"/>
      <c r="R400" s="181"/>
      <c r="S400" s="160"/>
      <c r="T400" s="160"/>
      <c r="U400" s="160"/>
    </row>
    <row r="401" spans="1:21" s="3" customFormat="1" ht="26.1" customHeight="1" x14ac:dyDescent="0.25">
      <c r="A401" s="31"/>
      <c r="B401" s="34" t="s">
        <v>42</v>
      </c>
      <c r="C401" s="33" t="s">
        <v>274</v>
      </c>
      <c r="D401" s="14" t="s">
        <v>14</v>
      </c>
      <c r="E401" s="15">
        <f>E400/3</f>
        <v>0.21333333333333337</v>
      </c>
      <c r="F401" s="16">
        <v>185275</v>
      </c>
      <c r="G401" s="17">
        <v>1</v>
      </c>
      <c r="H401" s="18">
        <f t="shared" si="49"/>
        <v>40000</v>
      </c>
      <c r="I401" s="227">
        <f t="shared" si="48"/>
        <v>40000</v>
      </c>
      <c r="J401" s="174"/>
      <c r="K401" s="153"/>
      <c r="L401" s="153"/>
      <c r="M401" s="153"/>
      <c r="N401" s="153"/>
      <c r="O401" s="153"/>
      <c r="P401" s="153"/>
      <c r="Q401" s="181"/>
      <c r="R401" s="181"/>
      <c r="S401" s="160"/>
      <c r="T401" s="160"/>
      <c r="U401" s="160"/>
    </row>
    <row r="402" spans="1:21" s="3" customFormat="1" ht="29.45" customHeight="1" x14ac:dyDescent="0.25">
      <c r="A402" s="31"/>
      <c r="B402" s="34" t="s">
        <v>49</v>
      </c>
      <c r="C402" s="33" t="s">
        <v>289</v>
      </c>
      <c r="D402" s="14" t="s">
        <v>14</v>
      </c>
      <c r="E402" s="15">
        <f>3.2*0.33*0.3</f>
        <v>0.31680000000000003</v>
      </c>
      <c r="F402" s="16">
        <v>1952153</v>
      </c>
      <c r="G402" s="17">
        <v>1</v>
      </c>
      <c r="H402" s="18">
        <f t="shared" si="49"/>
        <v>618000</v>
      </c>
      <c r="I402" s="227">
        <f t="shared" si="48"/>
        <v>618000</v>
      </c>
      <c r="J402" s="174"/>
      <c r="K402" s="153"/>
      <c r="L402" s="153"/>
      <c r="M402" s="153"/>
      <c r="N402" s="153"/>
      <c r="O402" s="153"/>
      <c r="P402" s="153"/>
      <c r="Q402" s="181"/>
      <c r="R402" s="181"/>
      <c r="S402" s="160"/>
      <c r="T402" s="160"/>
      <c r="U402" s="160"/>
    </row>
    <row r="403" spans="1:21" s="3" customFormat="1" ht="36.6" customHeight="1" x14ac:dyDescent="0.25">
      <c r="A403" s="31"/>
      <c r="B403" s="34" t="s">
        <v>50</v>
      </c>
      <c r="C403" s="33" t="s">
        <v>290</v>
      </c>
      <c r="D403" s="14" t="s">
        <v>14</v>
      </c>
      <c r="E403" s="15">
        <f>3.2*0.22*0.7</f>
        <v>0.49280000000000002</v>
      </c>
      <c r="F403" s="16">
        <v>2013297</v>
      </c>
      <c r="G403" s="17">
        <v>1</v>
      </c>
      <c r="H403" s="18">
        <f t="shared" si="49"/>
        <v>992000</v>
      </c>
      <c r="I403" s="227">
        <f t="shared" si="48"/>
        <v>992000</v>
      </c>
      <c r="J403" s="174"/>
      <c r="K403" s="153"/>
      <c r="L403" s="153"/>
      <c r="M403" s="153"/>
      <c r="N403" s="153"/>
      <c r="O403" s="153"/>
      <c r="P403" s="153"/>
      <c r="Q403" s="181"/>
      <c r="R403" s="181"/>
      <c r="S403" s="160"/>
      <c r="T403" s="160"/>
      <c r="U403" s="160"/>
    </row>
    <row r="404" spans="1:21" s="3" customFormat="1" ht="56.25" customHeight="1" x14ac:dyDescent="0.25">
      <c r="A404" s="81" t="s">
        <v>61</v>
      </c>
      <c r="B404" s="148" t="s">
        <v>402</v>
      </c>
      <c r="C404" s="149"/>
      <c r="D404" s="40" t="s">
        <v>13</v>
      </c>
      <c r="E404" s="118">
        <v>145.6</v>
      </c>
      <c r="F404" s="126">
        <v>30000</v>
      </c>
      <c r="G404" s="150">
        <v>1</v>
      </c>
      <c r="H404" s="82">
        <f>E404*F404</f>
        <v>4368000</v>
      </c>
      <c r="I404" s="227">
        <f t="shared" si="48"/>
        <v>4368000</v>
      </c>
      <c r="J404" s="174"/>
      <c r="K404" s="153"/>
      <c r="L404" s="153"/>
      <c r="M404" s="153"/>
      <c r="N404" s="153"/>
      <c r="O404" s="153"/>
      <c r="P404" s="153"/>
      <c r="Q404" s="181"/>
      <c r="R404" s="181"/>
      <c r="S404" s="153">
        <f>H404</f>
        <v>4368000</v>
      </c>
      <c r="T404" s="160"/>
      <c r="U404" s="160"/>
    </row>
    <row r="405" spans="1:21" s="4" customFormat="1" ht="34.15" customHeight="1" x14ac:dyDescent="0.25">
      <c r="A405" s="81" t="s">
        <v>123</v>
      </c>
      <c r="B405" s="440" t="s">
        <v>412</v>
      </c>
      <c r="C405" s="440"/>
      <c r="D405" s="440"/>
      <c r="E405" s="440"/>
      <c r="F405" s="440"/>
      <c r="G405" s="440"/>
      <c r="H405" s="82">
        <f>H410+H416+H406+H447+H448</f>
        <v>417136000</v>
      </c>
      <c r="I405" s="227">
        <f t="shared" si="48"/>
        <v>0</v>
      </c>
      <c r="J405" s="174"/>
      <c r="K405" s="153"/>
      <c r="L405" s="153"/>
      <c r="M405" s="153"/>
      <c r="N405" s="153"/>
      <c r="O405" s="153"/>
      <c r="P405" s="153"/>
      <c r="Q405" s="188"/>
      <c r="R405" s="188"/>
      <c r="S405" s="155"/>
      <c r="T405" s="155"/>
      <c r="U405" s="155"/>
    </row>
    <row r="406" spans="1:21" s="9" customFormat="1" ht="63" customHeight="1" x14ac:dyDescent="0.25">
      <c r="A406" s="83" t="s">
        <v>11</v>
      </c>
      <c r="B406" s="453" t="s">
        <v>406</v>
      </c>
      <c r="C406" s="453"/>
      <c r="D406" s="453"/>
      <c r="E406" s="453"/>
      <c r="F406" s="453"/>
      <c r="G406" s="246"/>
      <c r="H406" s="84">
        <f>SUM(H407:H409)</f>
        <v>345391000</v>
      </c>
      <c r="I406" s="227">
        <f t="shared" si="48"/>
        <v>0</v>
      </c>
      <c r="J406" s="189"/>
      <c r="K406" s="175">
        <f>H407+H408</f>
        <v>338708000</v>
      </c>
      <c r="L406" s="175"/>
      <c r="M406" s="175"/>
      <c r="N406" s="175"/>
      <c r="O406" s="175"/>
      <c r="P406" s="190"/>
      <c r="Q406" s="156"/>
      <c r="R406" s="156"/>
      <c r="S406" s="157"/>
      <c r="T406" s="157"/>
      <c r="U406" s="157"/>
    </row>
    <row r="407" spans="1:21" s="8" customFormat="1" ht="26.1" customHeight="1" x14ac:dyDescent="0.25">
      <c r="A407" s="85"/>
      <c r="B407" s="86" t="s">
        <v>241</v>
      </c>
      <c r="C407" s="87" t="s">
        <v>242</v>
      </c>
      <c r="D407" s="85" t="s">
        <v>13</v>
      </c>
      <c r="E407" s="88">
        <v>140.19999999999999</v>
      </c>
      <c r="F407" s="89">
        <v>3000000</v>
      </c>
      <c r="G407" s="247">
        <v>0.8</v>
      </c>
      <c r="H407" s="91">
        <f>ROUND(E407*F407*G407,-3)</f>
        <v>336480000</v>
      </c>
      <c r="I407" s="227">
        <f t="shared" si="48"/>
        <v>336480000</v>
      </c>
      <c r="J407" s="191"/>
      <c r="K407" s="192"/>
      <c r="L407" s="192"/>
      <c r="M407" s="192"/>
      <c r="N407" s="192"/>
      <c r="O407" s="192"/>
      <c r="P407" s="193"/>
      <c r="Q407" s="158"/>
      <c r="R407" s="158"/>
      <c r="S407" s="159"/>
      <c r="T407" s="159"/>
      <c r="U407" s="159"/>
    </row>
    <row r="408" spans="1:21" s="8" customFormat="1" ht="26.1" customHeight="1" x14ac:dyDescent="0.25">
      <c r="A408" s="85"/>
      <c r="B408" s="86" t="s">
        <v>239</v>
      </c>
      <c r="C408" s="87" t="s">
        <v>240</v>
      </c>
      <c r="D408" s="85" t="s">
        <v>13</v>
      </c>
      <c r="E408" s="92">
        <v>29.7</v>
      </c>
      <c r="F408" s="89">
        <v>75000</v>
      </c>
      <c r="G408" s="247">
        <v>1</v>
      </c>
      <c r="H408" s="91">
        <f>ROUND(E408*F408*G408,-3)</f>
        <v>2228000</v>
      </c>
      <c r="I408" s="227">
        <f t="shared" si="48"/>
        <v>2228000</v>
      </c>
      <c r="J408" s="191"/>
      <c r="K408" s="192"/>
      <c r="L408" s="192"/>
      <c r="M408" s="192"/>
      <c r="N408" s="192"/>
      <c r="O408" s="192"/>
      <c r="P408" s="193"/>
      <c r="Q408" s="158"/>
      <c r="R408" s="158"/>
      <c r="S408" s="159"/>
      <c r="T408" s="159"/>
      <c r="U408" s="159"/>
    </row>
    <row r="409" spans="1:21" s="8" customFormat="1" ht="40.5" customHeight="1" x14ac:dyDescent="0.25">
      <c r="A409" s="85"/>
      <c r="B409" s="86" t="s">
        <v>58</v>
      </c>
      <c r="C409" s="87"/>
      <c r="D409" s="85" t="s">
        <v>13</v>
      </c>
      <c r="E409" s="92">
        <f>E408</f>
        <v>29.7</v>
      </c>
      <c r="F409" s="89">
        <f>F408*3</f>
        <v>225000</v>
      </c>
      <c r="G409" s="247">
        <v>1</v>
      </c>
      <c r="H409" s="91">
        <f>ROUND(E409*F409*G409,-3)</f>
        <v>6683000</v>
      </c>
      <c r="I409" s="227">
        <f t="shared" si="48"/>
        <v>6683000</v>
      </c>
      <c r="J409" s="191"/>
      <c r="K409" s="192"/>
      <c r="L409" s="192">
        <f>H409</f>
        <v>6683000</v>
      </c>
      <c r="M409" s="192"/>
      <c r="N409" s="192"/>
      <c r="O409" s="192"/>
      <c r="P409" s="193"/>
      <c r="Q409" s="158"/>
      <c r="R409" s="158"/>
      <c r="S409" s="159"/>
      <c r="T409" s="159"/>
      <c r="U409" s="159"/>
    </row>
    <row r="410" spans="1:21" s="3" customFormat="1" ht="39.6" customHeight="1" x14ac:dyDescent="0.25">
      <c r="A410" s="97" t="s">
        <v>12</v>
      </c>
      <c r="B410" s="432" t="s">
        <v>373</v>
      </c>
      <c r="C410" s="432"/>
      <c r="D410" s="432"/>
      <c r="E410" s="432"/>
      <c r="F410" s="432"/>
      <c r="G410" s="432"/>
      <c r="H410" s="82">
        <f>SUM(H411:H415)</f>
        <v>6003000</v>
      </c>
      <c r="I410" s="227">
        <f t="shared" si="48"/>
        <v>0</v>
      </c>
      <c r="J410" s="174"/>
      <c r="K410" s="153"/>
      <c r="L410" s="153"/>
      <c r="M410" s="153"/>
      <c r="N410" s="153"/>
      <c r="O410" s="153">
        <f>H410</f>
        <v>6003000</v>
      </c>
      <c r="P410" s="153"/>
      <c r="Q410" s="181"/>
      <c r="R410" s="181"/>
      <c r="S410" s="160"/>
      <c r="T410" s="160"/>
      <c r="U410" s="160"/>
    </row>
    <row r="411" spans="1:21" s="3" customFormat="1" ht="26.1" customHeight="1" x14ac:dyDescent="0.25">
      <c r="A411" s="31"/>
      <c r="B411" s="35" t="s">
        <v>229</v>
      </c>
      <c r="C411" s="36" t="s">
        <v>334</v>
      </c>
      <c r="D411" s="14" t="s">
        <v>16</v>
      </c>
      <c r="E411" s="37">
        <v>1</v>
      </c>
      <c r="F411" s="38">
        <v>228000</v>
      </c>
      <c r="G411" s="249">
        <v>1</v>
      </c>
      <c r="H411" s="39">
        <f>ROUND(E411*F411*G411,-3)</f>
        <v>228000</v>
      </c>
      <c r="I411" s="227">
        <f t="shared" si="48"/>
        <v>228000</v>
      </c>
      <c r="J411" s="174"/>
      <c r="K411" s="153"/>
      <c r="L411" s="153"/>
      <c r="M411" s="153"/>
      <c r="N411" s="153"/>
      <c r="O411" s="153"/>
      <c r="P411" s="153"/>
      <c r="Q411" s="181"/>
      <c r="R411" s="181"/>
      <c r="S411" s="160"/>
      <c r="T411" s="160"/>
      <c r="U411" s="160"/>
    </row>
    <row r="412" spans="1:21" s="3" customFormat="1" ht="26.1" customHeight="1" x14ac:dyDescent="0.25">
      <c r="A412" s="31"/>
      <c r="B412" s="35" t="s">
        <v>335</v>
      </c>
      <c r="C412" s="36" t="s">
        <v>293</v>
      </c>
      <c r="D412" s="14" t="s">
        <v>16</v>
      </c>
      <c r="E412" s="37">
        <v>1</v>
      </c>
      <c r="F412" s="38">
        <v>4500000</v>
      </c>
      <c r="G412" s="249">
        <v>1</v>
      </c>
      <c r="H412" s="39">
        <f t="shared" ref="H412:H415" si="50">ROUND(E412*F412*G412,-3)</f>
        <v>4500000</v>
      </c>
      <c r="I412" s="227">
        <f t="shared" si="48"/>
        <v>4500000</v>
      </c>
      <c r="J412" s="174"/>
      <c r="K412" s="153"/>
      <c r="L412" s="153"/>
      <c r="M412" s="153"/>
      <c r="N412" s="153"/>
      <c r="O412" s="153"/>
      <c r="P412" s="153"/>
      <c r="Q412" s="181"/>
      <c r="R412" s="181"/>
      <c r="S412" s="160"/>
      <c r="T412" s="160"/>
      <c r="U412" s="160"/>
    </row>
    <row r="413" spans="1:21" s="3" customFormat="1" ht="26.1" customHeight="1" x14ac:dyDescent="0.25">
      <c r="A413" s="31"/>
      <c r="B413" s="35" t="s">
        <v>323</v>
      </c>
      <c r="C413" s="36" t="s">
        <v>296</v>
      </c>
      <c r="D413" s="14" t="s">
        <v>16</v>
      </c>
      <c r="E413" s="37">
        <v>1</v>
      </c>
      <c r="F413" s="38">
        <v>200000</v>
      </c>
      <c r="G413" s="249">
        <v>1</v>
      </c>
      <c r="H413" s="39">
        <f t="shared" si="50"/>
        <v>200000</v>
      </c>
      <c r="I413" s="227">
        <f t="shared" si="48"/>
        <v>200000</v>
      </c>
      <c r="J413" s="174"/>
      <c r="K413" s="153"/>
      <c r="L413" s="153"/>
      <c r="M413" s="153"/>
      <c r="N413" s="153"/>
      <c r="O413" s="153"/>
      <c r="P413" s="153"/>
      <c r="Q413" s="181"/>
      <c r="R413" s="181"/>
      <c r="S413" s="160"/>
      <c r="T413" s="160"/>
      <c r="U413" s="160"/>
    </row>
    <row r="414" spans="1:21" s="3" customFormat="1" ht="26.1" customHeight="1" x14ac:dyDescent="0.25">
      <c r="A414" s="31"/>
      <c r="B414" s="35" t="s">
        <v>336</v>
      </c>
      <c r="C414" s="36" t="s">
        <v>309</v>
      </c>
      <c r="D414" s="14" t="s">
        <v>80</v>
      </c>
      <c r="E414" s="37">
        <v>7</v>
      </c>
      <c r="F414" s="38">
        <v>150000</v>
      </c>
      <c r="G414" s="249">
        <v>1</v>
      </c>
      <c r="H414" s="39">
        <f t="shared" si="50"/>
        <v>1050000</v>
      </c>
      <c r="I414" s="227">
        <f t="shared" si="48"/>
        <v>1050000</v>
      </c>
      <c r="J414" s="174"/>
      <c r="K414" s="153"/>
      <c r="L414" s="153"/>
      <c r="M414" s="153"/>
      <c r="N414" s="153"/>
      <c r="O414" s="153"/>
      <c r="P414" s="153"/>
      <c r="Q414" s="181"/>
      <c r="R414" s="181"/>
      <c r="S414" s="160"/>
      <c r="T414" s="160"/>
      <c r="U414" s="160"/>
    </row>
    <row r="415" spans="1:21" s="19" customFormat="1" ht="26.1" customHeight="1" x14ac:dyDescent="0.25">
      <c r="A415" s="31"/>
      <c r="B415" s="35" t="s">
        <v>337</v>
      </c>
      <c r="C415" s="36" t="s">
        <v>338</v>
      </c>
      <c r="D415" s="14" t="s">
        <v>80</v>
      </c>
      <c r="E415" s="37">
        <v>2</v>
      </c>
      <c r="F415" s="38">
        <v>12500</v>
      </c>
      <c r="G415" s="249">
        <v>1</v>
      </c>
      <c r="H415" s="39">
        <f t="shared" si="50"/>
        <v>25000</v>
      </c>
      <c r="I415" s="227">
        <f t="shared" si="48"/>
        <v>25000</v>
      </c>
      <c r="J415" s="200"/>
      <c r="K415" s="161"/>
      <c r="L415" s="161"/>
      <c r="M415" s="161"/>
      <c r="N415" s="161"/>
      <c r="O415" s="161"/>
      <c r="P415" s="161"/>
      <c r="Q415" s="201"/>
      <c r="R415" s="201"/>
      <c r="S415" s="162"/>
      <c r="T415" s="162"/>
      <c r="U415" s="162"/>
    </row>
    <row r="416" spans="1:21" s="3" customFormat="1" ht="42" customHeight="1" x14ac:dyDescent="0.25">
      <c r="A416" s="97" t="s">
        <v>61</v>
      </c>
      <c r="B416" s="433" t="s">
        <v>374</v>
      </c>
      <c r="C416" s="433"/>
      <c r="D416" s="433"/>
      <c r="E416" s="433"/>
      <c r="F416" s="433"/>
      <c r="G416" s="433"/>
      <c r="H416" s="82">
        <f>H417+H425+H430+H431+H436+H441</f>
        <v>34851000</v>
      </c>
      <c r="I416" s="227">
        <f t="shared" si="48"/>
        <v>0</v>
      </c>
      <c r="J416" s="174"/>
      <c r="K416" s="153"/>
      <c r="L416" s="153"/>
      <c r="M416" s="153"/>
      <c r="N416" s="153"/>
      <c r="O416" s="153"/>
      <c r="P416" s="153">
        <f>H416</f>
        <v>34851000</v>
      </c>
      <c r="Q416" s="181"/>
      <c r="R416" s="181"/>
      <c r="S416" s="160"/>
      <c r="T416" s="160"/>
      <c r="U416" s="160"/>
    </row>
    <row r="417" spans="1:21" s="6" customFormat="1" ht="26.1" customHeight="1" x14ac:dyDescent="0.25">
      <c r="A417" s="61">
        <v>1</v>
      </c>
      <c r="B417" s="62" t="s">
        <v>90</v>
      </c>
      <c r="C417" s="63"/>
      <c r="D417" s="61"/>
      <c r="E417" s="64"/>
      <c r="F417" s="65"/>
      <c r="G417" s="250"/>
      <c r="H417" s="66">
        <f>SUM(H418:H424)</f>
        <v>10662000</v>
      </c>
      <c r="I417" s="227">
        <f t="shared" si="48"/>
        <v>0</v>
      </c>
      <c r="J417" s="202"/>
      <c r="K417" s="202"/>
      <c r="L417" s="202"/>
      <c r="M417" s="202"/>
      <c r="N417" s="202"/>
      <c r="O417" s="203"/>
      <c r="P417" s="204"/>
      <c r="Q417" s="163"/>
      <c r="R417" s="163"/>
      <c r="S417" s="164"/>
      <c r="T417" s="164"/>
      <c r="U417" s="164"/>
    </row>
    <row r="418" spans="1:21" s="44" customFormat="1" ht="48" customHeight="1" x14ac:dyDescent="0.25">
      <c r="A418" s="55"/>
      <c r="B418" s="67" t="s">
        <v>114</v>
      </c>
      <c r="C418" s="57" t="s">
        <v>283</v>
      </c>
      <c r="D418" s="58" t="s">
        <v>13</v>
      </c>
      <c r="E418" s="59">
        <f>2.2*2.15</f>
        <v>4.7300000000000004</v>
      </c>
      <c r="F418" s="60">
        <v>1429813</v>
      </c>
      <c r="G418" s="251">
        <v>1</v>
      </c>
      <c r="H418" s="54">
        <f t="shared" ref="H418:H424" si="51">ROUND(E418*F418*G418,-3)</f>
        <v>6763000</v>
      </c>
      <c r="I418" s="227">
        <f t="shared" si="48"/>
        <v>6763000</v>
      </c>
      <c r="J418" s="207"/>
      <c r="K418" s="207"/>
      <c r="L418" s="207"/>
      <c r="M418" s="207"/>
      <c r="N418" s="207"/>
      <c r="O418" s="208"/>
      <c r="P418" s="208"/>
      <c r="Q418" s="172"/>
      <c r="R418" s="172"/>
      <c r="S418" s="166"/>
      <c r="T418" s="166"/>
      <c r="U418" s="166"/>
    </row>
    <row r="419" spans="1:21" s="6" customFormat="1" ht="42.6" customHeight="1" x14ac:dyDescent="0.25">
      <c r="A419" s="55"/>
      <c r="B419" s="454" t="s">
        <v>115</v>
      </c>
      <c r="C419" s="455"/>
      <c r="D419" s="455"/>
      <c r="E419" s="455"/>
      <c r="F419" s="456"/>
      <c r="G419" s="251"/>
      <c r="H419" s="54">
        <f t="shared" si="51"/>
        <v>0</v>
      </c>
      <c r="I419" s="227">
        <f t="shared" si="48"/>
        <v>0</v>
      </c>
      <c r="J419" s="202"/>
      <c r="K419" s="202"/>
      <c r="L419" s="202"/>
      <c r="M419" s="202"/>
      <c r="N419" s="202"/>
      <c r="O419" s="203"/>
      <c r="P419" s="204"/>
      <c r="Q419" s="158"/>
      <c r="R419" s="158"/>
      <c r="S419" s="164"/>
      <c r="T419" s="164"/>
      <c r="U419" s="164"/>
    </row>
    <row r="420" spans="1:21" s="6" customFormat="1" ht="42.75" customHeight="1" x14ac:dyDescent="0.25">
      <c r="A420" s="55"/>
      <c r="B420" s="67" t="s">
        <v>25</v>
      </c>
      <c r="C420" s="57" t="s">
        <v>273</v>
      </c>
      <c r="D420" s="58" t="s">
        <v>14</v>
      </c>
      <c r="E420" s="59">
        <f>0.6*0.7*0.6*2</f>
        <v>0.504</v>
      </c>
      <c r="F420" s="60">
        <v>386181</v>
      </c>
      <c r="G420" s="251">
        <v>1</v>
      </c>
      <c r="H420" s="54">
        <f t="shared" si="51"/>
        <v>195000</v>
      </c>
      <c r="I420" s="227">
        <f t="shared" si="48"/>
        <v>195000</v>
      </c>
      <c r="J420" s="202"/>
      <c r="K420" s="202"/>
      <c r="L420" s="202"/>
      <c r="M420" s="202"/>
      <c r="N420" s="202"/>
      <c r="O420" s="203"/>
      <c r="P420" s="204"/>
      <c r="Q420" s="158"/>
      <c r="R420" s="158"/>
      <c r="S420" s="164"/>
      <c r="T420" s="164"/>
      <c r="U420" s="164"/>
    </row>
    <row r="421" spans="1:21" s="6" customFormat="1" ht="26.1" customHeight="1" x14ac:dyDescent="0.25">
      <c r="A421" s="55"/>
      <c r="B421" s="56" t="s">
        <v>42</v>
      </c>
      <c r="C421" s="57" t="s">
        <v>274</v>
      </c>
      <c r="D421" s="58" t="s">
        <v>14</v>
      </c>
      <c r="E421" s="59">
        <f>E420/3</f>
        <v>0.16800000000000001</v>
      </c>
      <c r="F421" s="60">
        <v>185275</v>
      </c>
      <c r="G421" s="251">
        <v>1</v>
      </c>
      <c r="H421" s="54">
        <f t="shared" si="51"/>
        <v>31000</v>
      </c>
      <c r="I421" s="227">
        <f t="shared" si="48"/>
        <v>31000</v>
      </c>
      <c r="J421" s="202"/>
      <c r="K421" s="202"/>
      <c r="L421" s="202"/>
      <c r="M421" s="202"/>
      <c r="N421" s="202"/>
      <c r="O421" s="203"/>
      <c r="P421" s="204"/>
      <c r="Q421" s="158"/>
      <c r="R421" s="158"/>
      <c r="S421" s="164"/>
      <c r="T421" s="164"/>
      <c r="U421" s="164"/>
    </row>
    <row r="422" spans="1:21" s="6" customFormat="1" ht="26.1" customHeight="1" x14ac:dyDescent="0.25">
      <c r="A422" s="55"/>
      <c r="B422" s="67" t="s">
        <v>95</v>
      </c>
      <c r="C422" s="57" t="s">
        <v>285</v>
      </c>
      <c r="D422" s="58" t="s">
        <v>14</v>
      </c>
      <c r="E422" s="59">
        <f>0.5*0.6*0.6*2</f>
        <v>0.36</v>
      </c>
      <c r="F422" s="60">
        <v>1869307</v>
      </c>
      <c r="G422" s="251">
        <v>1</v>
      </c>
      <c r="H422" s="54">
        <f t="shared" si="51"/>
        <v>673000</v>
      </c>
      <c r="I422" s="227">
        <f t="shared" si="48"/>
        <v>673000</v>
      </c>
      <c r="J422" s="202"/>
      <c r="K422" s="202"/>
      <c r="L422" s="202"/>
      <c r="M422" s="202"/>
      <c r="N422" s="202"/>
      <c r="O422" s="203"/>
      <c r="P422" s="204"/>
      <c r="Q422" s="158"/>
      <c r="R422" s="158"/>
      <c r="S422" s="164"/>
      <c r="T422" s="164"/>
      <c r="U422" s="164"/>
    </row>
    <row r="423" spans="1:21" s="6" customFormat="1" ht="40.5" customHeight="1" x14ac:dyDescent="0.25">
      <c r="A423" s="55"/>
      <c r="B423" s="67" t="s">
        <v>26</v>
      </c>
      <c r="C423" s="57" t="s">
        <v>276</v>
      </c>
      <c r="D423" s="58" t="s">
        <v>14</v>
      </c>
      <c r="E423" s="59">
        <f>0.35*0.45*1.9*2</f>
        <v>0.59849999999999992</v>
      </c>
      <c r="F423" s="60">
        <v>2543957</v>
      </c>
      <c r="G423" s="251">
        <v>1</v>
      </c>
      <c r="H423" s="54">
        <f t="shared" si="51"/>
        <v>1523000</v>
      </c>
      <c r="I423" s="227">
        <f t="shared" si="48"/>
        <v>1523000</v>
      </c>
      <c r="J423" s="202"/>
      <c r="K423" s="202"/>
      <c r="L423" s="202"/>
      <c r="M423" s="202"/>
      <c r="N423" s="202"/>
      <c r="O423" s="203"/>
      <c r="P423" s="204"/>
      <c r="Q423" s="158"/>
      <c r="R423" s="158"/>
      <c r="S423" s="164"/>
      <c r="T423" s="164"/>
      <c r="U423" s="164"/>
    </row>
    <row r="424" spans="1:21" s="6" customFormat="1" ht="26.1" customHeight="1" x14ac:dyDescent="0.25">
      <c r="A424" s="55"/>
      <c r="B424" s="67" t="s">
        <v>28</v>
      </c>
      <c r="C424" s="57" t="s">
        <v>278</v>
      </c>
      <c r="D424" s="58" t="s">
        <v>13</v>
      </c>
      <c r="E424" s="59">
        <f>(0.35+0.45)*2*1.9*2</f>
        <v>6.08</v>
      </c>
      <c r="F424" s="60">
        <v>242854</v>
      </c>
      <c r="G424" s="251">
        <v>1</v>
      </c>
      <c r="H424" s="54">
        <f t="shared" si="51"/>
        <v>1477000</v>
      </c>
      <c r="I424" s="227">
        <f t="shared" si="48"/>
        <v>1477000</v>
      </c>
      <c r="J424" s="202"/>
      <c r="K424" s="202"/>
      <c r="L424" s="202"/>
      <c r="M424" s="202"/>
      <c r="N424" s="202"/>
      <c r="O424" s="203"/>
      <c r="P424" s="204"/>
      <c r="Q424" s="158"/>
      <c r="R424" s="158"/>
      <c r="S424" s="164"/>
      <c r="T424" s="164"/>
      <c r="U424" s="164"/>
    </row>
    <row r="425" spans="1:21" s="10" customFormat="1" ht="39.6" customHeight="1" x14ac:dyDescent="0.25">
      <c r="A425" s="102">
        <v>2</v>
      </c>
      <c r="B425" s="450" t="s">
        <v>117</v>
      </c>
      <c r="C425" s="451"/>
      <c r="D425" s="451"/>
      <c r="E425" s="451"/>
      <c r="F425" s="452"/>
      <c r="G425" s="106"/>
      <c r="H425" s="104">
        <f>SUM(H426:H429)</f>
        <v>14190000</v>
      </c>
      <c r="I425" s="227">
        <f t="shared" si="48"/>
        <v>0</v>
      </c>
      <c r="J425" s="211"/>
      <c r="K425" s="169"/>
      <c r="L425" s="169"/>
      <c r="M425" s="169"/>
      <c r="N425" s="169"/>
      <c r="O425" s="169"/>
      <c r="P425" s="169"/>
      <c r="Q425" s="212"/>
      <c r="R425" s="212"/>
      <c r="S425" s="170"/>
      <c r="T425" s="170"/>
      <c r="U425" s="170"/>
    </row>
    <row r="426" spans="1:21" s="3" customFormat="1" ht="26.1" customHeight="1" x14ac:dyDescent="0.25">
      <c r="A426" s="31"/>
      <c r="B426" s="34" t="s">
        <v>41</v>
      </c>
      <c r="C426" s="33" t="s">
        <v>284</v>
      </c>
      <c r="D426" s="14" t="s">
        <v>14</v>
      </c>
      <c r="E426" s="15">
        <f>30.5*0.4*0.4</f>
        <v>4.8800000000000008</v>
      </c>
      <c r="F426" s="16">
        <v>266100</v>
      </c>
      <c r="G426" s="17">
        <v>1</v>
      </c>
      <c r="H426" s="18">
        <f t="shared" ref="H426:H429" si="52">ROUND(E426*F426*G426,-3)</f>
        <v>1299000</v>
      </c>
      <c r="I426" s="227">
        <f t="shared" si="48"/>
        <v>1299000</v>
      </c>
      <c r="J426" s="174"/>
      <c r="K426" s="153"/>
      <c r="L426" s="153"/>
      <c r="M426" s="153"/>
      <c r="N426" s="153"/>
      <c r="O426" s="153"/>
      <c r="P426" s="153"/>
      <c r="Q426" s="181"/>
      <c r="R426" s="181"/>
      <c r="S426" s="160"/>
      <c r="T426" s="160"/>
      <c r="U426" s="160"/>
    </row>
    <row r="427" spans="1:21" s="3" customFormat="1" ht="26.1" customHeight="1" x14ac:dyDescent="0.25">
      <c r="A427" s="31"/>
      <c r="B427" s="34" t="s">
        <v>42</v>
      </c>
      <c r="C427" s="33" t="s">
        <v>274</v>
      </c>
      <c r="D427" s="14" t="s">
        <v>14</v>
      </c>
      <c r="E427" s="15">
        <f>E426/3</f>
        <v>1.6266666666666669</v>
      </c>
      <c r="F427" s="16">
        <v>185275</v>
      </c>
      <c r="G427" s="17">
        <v>1</v>
      </c>
      <c r="H427" s="18">
        <f t="shared" si="52"/>
        <v>301000</v>
      </c>
      <c r="I427" s="227">
        <f t="shared" si="48"/>
        <v>301000</v>
      </c>
      <c r="J427" s="174"/>
      <c r="K427" s="153"/>
      <c r="L427" s="153"/>
      <c r="M427" s="153"/>
      <c r="N427" s="153"/>
      <c r="O427" s="153"/>
      <c r="P427" s="153"/>
      <c r="Q427" s="181"/>
      <c r="R427" s="181"/>
      <c r="S427" s="160"/>
      <c r="T427" s="160"/>
      <c r="U427" s="160"/>
    </row>
    <row r="428" spans="1:21" s="3" customFormat="1" ht="29.45" customHeight="1" x14ac:dyDescent="0.25">
      <c r="A428" s="31"/>
      <c r="B428" s="34" t="s">
        <v>43</v>
      </c>
      <c r="C428" s="33" t="s">
        <v>285</v>
      </c>
      <c r="D428" s="14" t="s">
        <v>14</v>
      </c>
      <c r="E428" s="15">
        <f>30.5*0.22*0.4</f>
        <v>2.6840000000000002</v>
      </c>
      <c r="F428" s="16">
        <v>1869307</v>
      </c>
      <c r="G428" s="17">
        <v>1</v>
      </c>
      <c r="H428" s="18">
        <f t="shared" si="52"/>
        <v>5017000</v>
      </c>
      <c r="I428" s="227">
        <f t="shared" si="48"/>
        <v>5017000</v>
      </c>
      <c r="J428" s="174"/>
      <c r="K428" s="153"/>
      <c r="L428" s="153"/>
      <c r="M428" s="153"/>
      <c r="N428" s="153"/>
      <c r="O428" s="153"/>
      <c r="P428" s="153"/>
      <c r="Q428" s="181"/>
      <c r="R428" s="181"/>
      <c r="S428" s="160"/>
      <c r="T428" s="160"/>
      <c r="U428" s="160"/>
    </row>
    <row r="429" spans="1:21" s="3" customFormat="1" ht="36.6" customHeight="1" x14ac:dyDescent="0.25">
      <c r="A429" s="31"/>
      <c r="B429" s="34" t="s">
        <v>116</v>
      </c>
      <c r="C429" s="33" t="s">
        <v>310</v>
      </c>
      <c r="D429" s="14" t="s">
        <v>14</v>
      </c>
      <c r="E429" s="15">
        <f>30.5*0.11*1.4</f>
        <v>4.6970000000000001</v>
      </c>
      <c r="F429" s="16">
        <v>1612337</v>
      </c>
      <c r="G429" s="17">
        <v>1</v>
      </c>
      <c r="H429" s="18">
        <f t="shared" si="52"/>
        <v>7573000</v>
      </c>
      <c r="I429" s="227">
        <f t="shared" si="48"/>
        <v>7573000</v>
      </c>
      <c r="J429" s="174"/>
      <c r="K429" s="153"/>
      <c r="L429" s="153"/>
      <c r="M429" s="153"/>
      <c r="N429" s="153"/>
      <c r="O429" s="153"/>
      <c r="P429" s="153"/>
      <c r="Q429" s="181"/>
      <c r="R429" s="181"/>
      <c r="S429" s="160"/>
      <c r="T429" s="160"/>
      <c r="U429" s="160"/>
    </row>
    <row r="430" spans="1:21" s="7" customFormat="1" ht="45" customHeight="1" x14ac:dyDescent="0.25">
      <c r="A430" s="24">
        <v>3</v>
      </c>
      <c r="B430" s="25" t="s">
        <v>118</v>
      </c>
      <c r="C430" s="26" t="s">
        <v>311</v>
      </c>
      <c r="D430" s="24" t="s">
        <v>13</v>
      </c>
      <c r="E430" s="27">
        <f>7.6*2</f>
        <v>15.2</v>
      </c>
      <c r="F430" s="28">
        <v>198135</v>
      </c>
      <c r="G430" s="110">
        <v>1</v>
      </c>
      <c r="H430" s="29">
        <f>ROUND(E430*F430*G430,-3)</f>
        <v>3012000</v>
      </c>
      <c r="I430" s="227">
        <f t="shared" si="48"/>
        <v>3012000</v>
      </c>
      <c r="J430" s="216"/>
      <c r="K430" s="216"/>
      <c r="L430" s="216"/>
      <c r="M430" s="216"/>
      <c r="N430" s="216"/>
      <c r="O430" s="217"/>
      <c r="P430" s="218"/>
      <c r="Q430" s="177"/>
      <c r="R430" s="177"/>
      <c r="S430" s="178"/>
      <c r="T430" s="178"/>
      <c r="U430" s="178"/>
    </row>
    <row r="431" spans="1:21" s="10" customFormat="1" ht="39.6" customHeight="1" x14ac:dyDescent="0.25">
      <c r="A431" s="102">
        <v>4</v>
      </c>
      <c r="B431" s="450" t="s">
        <v>119</v>
      </c>
      <c r="C431" s="451"/>
      <c r="D431" s="451"/>
      <c r="E431" s="451"/>
      <c r="F431" s="452"/>
      <c r="G431" s="106"/>
      <c r="H431" s="104">
        <f>SUM(H432:H435)</f>
        <v>1731000</v>
      </c>
      <c r="I431" s="227">
        <f t="shared" si="48"/>
        <v>0</v>
      </c>
      <c r="J431" s="211"/>
      <c r="K431" s="169"/>
      <c r="L431" s="169"/>
      <c r="M431" s="169"/>
      <c r="N431" s="169"/>
      <c r="O431" s="169"/>
      <c r="P431" s="169"/>
      <c r="Q431" s="212"/>
      <c r="R431" s="212"/>
      <c r="S431" s="170"/>
      <c r="T431" s="170"/>
      <c r="U431" s="170"/>
    </row>
    <row r="432" spans="1:21" s="3" customFormat="1" ht="26.1" customHeight="1" x14ac:dyDescent="0.25">
      <c r="A432" s="31"/>
      <c r="B432" s="34" t="s">
        <v>41</v>
      </c>
      <c r="C432" s="33" t="s">
        <v>284</v>
      </c>
      <c r="D432" s="14" t="s">
        <v>14</v>
      </c>
      <c r="E432" s="15">
        <f>8*0.3*0.2</f>
        <v>0.48</v>
      </c>
      <c r="F432" s="16">
        <v>266100</v>
      </c>
      <c r="G432" s="17">
        <v>1</v>
      </c>
      <c r="H432" s="18">
        <f t="shared" ref="H432:H435" si="53">ROUND(E432*F432*G432,-3)</f>
        <v>128000</v>
      </c>
      <c r="I432" s="227">
        <f t="shared" si="48"/>
        <v>128000</v>
      </c>
      <c r="J432" s="174"/>
      <c r="K432" s="153"/>
      <c r="L432" s="153"/>
      <c r="M432" s="153"/>
      <c r="N432" s="153"/>
      <c r="O432" s="153"/>
      <c r="P432" s="153"/>
      <c r="Q432" s="181"/>
      <c r="R432" s="181"/>
      <c r="S432" s="160"/>
      <c r="T432" s="160"/>
      <c r="U432" s="160"/>
    </row>
    <row r="433" spans="1:21" s="3" customFormat="1" ht="26.1" customHeight="1" x14ac:dyDescent="0.25">
      <c r="A433" s="31"/>
      <c r="B433" s="34" t="s">
        <v>42</v>
      </c>
      <c r="C433" s="33" t="s">
        <v>274</v>
      </c>
      <c r="D433" s="14" t="s">
        <v>14</v>
      </c>
      <c r="E433" s="15">
        <f>E432/3</f>
        <v>0.16</v>
      </c>
      <c r="F433" s="16">
        <v>185275</v>
      </c>
      <c r="G433" s="17">
        <v>1</v>
      </c>
      <c r="H433" s="18">
        <f t="shared" si="53"/>
        <v>30000</v>
      </c>
      <c r="I433" s="227">
        <f t="shared" si="48"/>
        <v>30000</v>
      </c>
      <c r="J433" s="174"/>
      <c r="K433" s="153"/>
      <c r="L433" s="153"/>
      <c r="M433" s="153"/>
      <c r="N433" s="153"/>
      <c r="O433" s="153"/>
      <c r="P433" s="153"/>
      <c r="Q433" s="181"/>
      <c r="R433" s="181"/>
      <c r="S433" s="160"/>
      <c r="T433" s="160"/>
      <c r="U433" s="160"/>
    </row>
    <row r="434" spans="1:21" s="3" customFormat="1" ht="29.45" customHeight="1" x14ac:dyDescent="0.25">
      <c r="A434" s="31"/>
      <c r="B434" s="34" t="s">
        <v>49</v>
      </c>
      <c r="C434" s="33" t="s">
        <v>289</v>
      </c>
      <c r="D434" s="14" t="s">
        <v>14</v>
      </c>
      <c r="E434" s="15">
        <f>8*0.22*0.2</f>
        <v>0.35200000000000004</v>
      </c>
      <c r="F434" s="16">
        <v>1952153</v>
      </c>
      <c r="G434" s="17">
        <v>1</v>
      </c>
      <c r="H434" s="18">
        <f t="shared" si="53"/>
        <v>687000</v>
      </c>
      <c r="I434" s="227">
        <f t="shared" si="48"/>
        <v>687000</v>
      </c>
      <c r="J434" s="174"/>
      <c r="K434" s="153"/>
      <c r="L434" s="153"/>
      <c r="M434" s="153"/>
      <c r="N434" s="153"/>
      <c r="O434" s="153"/>
      <c r="P434" s="153"/>
      <c r="Q434" s="181"/>
      <c r="R434" s="181"/>
      <c r="S434" s="160"/>
      <c r="T434" s="160"/>
      <c r="U434" s="160"/>
    </row>
    <row r="435" spans="1:21" s="3" customFormat="1" ht="36.6" customHeight="1" x14ac:dyDescent="0.25">
      <c r="A435" s="31"/>
      <c r="B435" s="34" t="s">
        <v>50</v>
      </c>
      <c r="C435" s="33" t="s">
        <v>290</v>
      </c>
      <c r="D435" s="14" t="s">
        <v>14</v>
      </c>
      <c r="E435" s="15">
        <f>8*0.11*0.5</f>
        <v>0.44</v>
      </c>
      <c r="F435" s="16">
        <v>2013297</v>
      </c>
      <c r="G435" s="17">
        <v>1</v>
      </c>
      <c r="H435" s="18">
        <f t="shared" si="53"/>
        <v>886000</v>
      </c>
      <c r="I435" s="227">
        <f t="shared" si="48"/>
        <v>886000</v>
      </c>
      <c r="J435" s="174"/>
      <c r="K435" s="153"/>
      <c r="L435" s="153"/>
      <c r="M435" s="153"/>
      <c r="N435" s="153"/>
      <c r="O435" s="153"/>
      <c r="P435" s="153"/>
      <c r="Q435" s="181"/>
      <c r="R435" s="181"/>
      <c r="S435" s="160"/>
      <c r="T435" s="160"/>
      <c r="U435" s="160"/>
    </row>
    <row r="436" spans="1:21" s="10" customFormat="1" ht="39.6" customHeight="1" x14ac:dyDescent="0.25">
      <c r="A436" s="102">
        <v>5</v>
      </c>
      <c r="B436" s="435" t="s">
        <v>120</v>
      </c>
      <c r="C436" s="435"/>
      <c r="D436" s="435"/>
      <c r="E436" s="435"/>
      <c r="F436" s="435"/>
      <c r="G436" s="103"/>
      <c r="H436" s="104">
        <f>SUM(H437:H440)</f>
        <v>2442000</v>
      </c>
      <c r="I436" s="227">
        <f t="shared" si="48"/>
        <v>0</v>
      </c>
      <c r="J436" s="211"/>
      <c r="K436" s="169"/>
      <c r="L436" s="169"/>
      <c r="M436" s="169"/>
      <c r="N436" s="169"/>
      <c r="O436" s="169"/>
      <c r="P436" s="169"/>
      <c r="Q436" s="169"/>
      <c r="R436" s="169"/>
      <c r="S436" s="170"/>
      <c r="T436" s="170"/>
      <c r="U436" s="170"/>
    </row>
    <row r="437" spans="1:21" s="3" customFormat="1" ht="39.6" customHeight="1" x14ac:dyDescent="0.25">
      <c r="A437" s="31"/>
      <c r="B437" s="34" t="s">
        <v>41</v>
      </c>
      <c r="C437" s="33" t="s">
        <v>284</v>
      </c>
      <c r="D437" s="14" t="s">
        <v>14</v>
      </c>
      <c r="E437" s="15">
        <f>16.2*0.3*0.2</f>
        <v>0.97199999999999998</v>
      </c>
      <c r="F437" s="16">
        <v>266100</v>
      </c>
      <c r="G437" s="17">
        <v>1</v>
      </c>
      <c r="H437" s="18">
        <f>ROUND(E437*F437*G437,-3)</f>
        <v>259000</v>
      </c>
      <c r="I437" s="227">
        <f t="shared" si="48"/>
        <v>259000</v>
      </c>
      <c r="J437" s="174"/>
      <c r="K437" s="153"/>
      <c r="L437" s="153"/>
      <c r="M437" s="153"/>
      <c r="N437" s="153"/>
      <c r="O437" s="153"/>
      <c r="P437" s="153"/>
      <c r="Q437" s="181"/>
      <c r="R437" s="181"/>
      <c r="S437" s="160"/>
      <c r="T437" s="160"/>
      <c r="U437" s="160"/>
    </row>
    <row r="438" spans="1:21" s="3" customFormat="1" ht="39.6" customHeight="1" x14ac:dyDescent="0.25">
      <c r="A438" s="31"/>
      <c r="B438" s="34" t="s">
        <v>42</v>
      </c>
      <c r="C438" s="33" t="s">
        <v>274</v>
      </c>
      <c r="D438" s="14" t="s">
        <v>14</v>
      </c>
      <c r="E438" s="15">
        <f>E437/3</f>
        <v>0.32400000000000001</v>
      </c>
      <c r="F438" s="16">
        <v>185275</v>
      </c>
      <c r="G438" s="17">
        <v>1</v>
      </c>
      <c r="H438" s="18">
        <f>ROUND(E438*F438*G438,-3)</f>
        <v>60000</v>
      </c>
      <c r="I438" s="227">
        <f t="shared" si="48"/>
        <v>60000</v>
      </c>
      <c r="J438" s="174"/>
      <c r="K438" s="153"/>
      <c r="L438" s="153"/>
      <c r="M438" s="153"/>
      <c r="N438" s="153"/>
      <c r="O438" s="153"/>
      <c r="P438" s="153"/>
      <c r="Q438" s="181"/>
      <c r="R438" s="181"/>
      <c r="S438" s="160"/>
      <c r="T438" s="160"/>
      <c r="U438" s="160"/>
    </row>
    <row r="439" spans="1:21" s="3" customFormat="1" ht="39.6" customHeight="1" x14ac:dyDescent="0.25">
      <c r="A439" s="31"/>
      <c r="B439" s="34" t="s">
        <v>43</v>
      </c>
      <c r="C439" s="33" t="s">
        <v>285</v>
      </c>
      <c r="D439" s="14" t="s">
        <v>14</v>
      </c>
      <c r="E439" s="15">
        <f>16.2*0.22*0.2</f>
        <v>0.7128000000000001</v>
      </c>
      <c r="F439" s="16">
        <v>1869307</v>
      </c>
      <c r="G439" s="17">
        <v>1</v>
      </c>
      <c r="H439" s="18">
        <f>ROUND(E439*F439*G439,-3)</f>
        <v>1332000</v>
      </c>
      <c r="I439" s="227">
        <f t="shared" si="48"/>
        <v>1332000</v>
      </c>
      <c r="J439" s="174"/>
      <c r="K439" s="153"/>
      <c r="L439" s="153"/>
      <c r="M439" s="153"/>
      <c r="N439" s="153"/>
      <c r="O439" s="153"/>
      <c r="P439" s="153"/>
      <c r="Q439" s="181"/>
      <c r="R439" s="181"/>
      <c r="S439" s="160"/>
      <c r="T439" s="160"/>
      <c r="U439" s="160"/>
    </row>
    <row r="440" spans="1:21" s="3" customFormat="1" ht="39.6" customHeight="1" x14ac:dyDescent="0.25">
      <c r="A440" s="31"/>
      <c r="B440" s="34" t="s">
        <v>44</v>
      </c>
      <c r="C440" s="33" t="s">
        <v>262</v>
      </c>
      <c r="D440" s="14" t="s">
        <v>14</v>
      </c>
      <c r="E440" s="15">
        <f>16.2*0.11*0.2</f>
        <v>0.35640000000000005</v>
      </c>
      <c r="F440" s="16">
        <v>2218558</v>
      </c>
      <c r="G440" s="17">
        <v>1</v>
      </c>
      <c r="H440" s="18">
        <f>ROUND(E440*F440*G440,-3)</f>
        <v>791000</v>
      </c>
      <c r="I440" s="227">
        <f t="shared" si="48"/>
        <v>791000</v>
      </c>
      <c r="J440" s="174"/>
      <c r="K440" s="153"/>
      <c r="L440" s="153"/>
      <c r="M440" s="153"/>
      <c r="N440" s="153"/>
      <c r="O440" s="153"/>
      <c r="P440" s="153"/>
      <c r="Q440" s="181"/>
      <c r="R440" s="181"/>
      <c r="S440" s="160"/>
      <c r="T440" s="160"/>
      <c r="U440" s="160"/>
    </row>
    <row r="441" spans="1:21" s="10" customFormat="1" ht="39.6" customHeight="1" x14ac:dyDescent="0.25">
      <c r="A441" s="102">
        <v>6</v>
      </c>
      <c r="B441" s="435" t="s">
        <v>121</v>
      </c>
      <c r="C441" s="435"/>
      <c r="D441" s="435"/>
      <c r="E441" s="435"/>
      <c r="F441" s="435"/>
      <c r="G441" s="103"/>
      <c r="H441" s="104">
        <f>SUM(H442:H446)</f>
        <v>2814000</v>
      </c>
      <c r="I441" s="227">
        <f t="shared" si="48"/>
        <v>0</v>
      </c>
      <c r="J441" s="211"/>
      <c r="K441" s="169"/>
      <c r="L441" s="169"/>
      <c r="M441" s="169"/>
      <c r="N441" s="169"/>
      <c r="O441" s="169"/>
      <c r="P441" s="169"/>
      <c r="Q441" s="169"/>
      <c r="R441" s="169"/>
      <c r="S441" s="170"/>
      <c r="T441" s="170"/>
      <c r="U441" s="170"/>
    </row>
    <row r="442" spans="1:21" s="3" customFormat="1" ht="39.6" customHeight="1" x14ac:dyDescent="0.25">
      <c r="A442" s="31"/>
      <c r="B442" s="34" t="s">
        <v>41</v>
      </c>
      <c r="C442" s="33" t="s">
        <v>284</v>
      </c>
      <c r="D442" s="14" t="s">
        <v>14</v>
      </c>
      <c r="E442" s="15">
        <f>(2+1.2)*2*0.4*0.3</f>
        <v>0.76800000000000013</v>
      </c>
      <c r="F442" s="16">
        <v>266100</v>
      </c>
      <c r="G442" s="17">
        <v>1</v>
      </c>
      <c r="H442" s="18">
        <f>ROUND(E442*F442*G442,-3)</f>
        <v>204000</v>
      </c>
      <c r="I442" s="227">
        <f t="shared" si="48"/>
        <v>204000</v>
      </c>
      <c r="J442" s="174"/>
      <c r="K442" s="153"/>
      <c r="L442" s="153"/>
      <c r="M442" s="153"/>
      <c r="N442" s="153"/>
      <c r="O442" s="153"/>
      <c r="P442" s="153"/>
      <c r="Q442" s="181"/>
      <c r="R442" s="181"/>
      <c r="S442" s="160"/>
      <c r="T442" s="160"/>
      <c r="U442" s="160"/>
    </row>
    <row r="443" spans="1:21" s="3" customFormat="1" ht="39.6" customHeight="1" x14ac:dyDescent="0.25">
      <c r="A443" s="31"/>
      <c r="B443" s="34" t="s">
        <v>42</v>
      </c>
      <c r="C443" s="33" t="s">
        <v>274</v>
      </c>
      <c r="D443" s="14" t="s">
        <v>14</v>
      </c>
      <c r="E443" s="15">
        <f>E442/3</f>
        <v>0.25600000000000006</v>
      </c>
      <c r="F443" s="16">
        <v>185275</v>
      </c>
      <c r="G443" s="17">
        <v>1</v>
      </c>
      <c r="H443" s="18">
        <f>ROUND(E443*F443*G443,-3)</f>
        <v>47000</v>
      </c>
      <c r="I443" s="227">
        <f t="shared" si="48"/>
        <v>47000</v>
      </c>
      <c r="J443" s="174"/>
      <c r="K443" s="153"/>
      <c r="L443" s="153"/>
      <c r="M443" s="153"/>
      <c r="N443" s="153"/>
      <c r="O443" s="153"/>
      <c r="P443" s="153"/>
      <c r="Q443" s="181"/>
      <c r="R443" s="181"/>
      <c r="S443" s="160"/>
      <c r="T443" s="160"/>
      <c r="U443" s="160"/>
    </row>
    <row r="444" spans="1:21" s="3" customFormat="1" ht="39.6" customHeight="1" x14ac:dyDescent="0.25">
      <c r="A444" s="31"/>
      <c r="B444" s="34" t="s">
        <v>43</v>
      </c>
      <c r="C444" s="33" t="s">
        <v>285</v>
      </c>
      <c r="D444" s="14" t="s">
        <v>14</v>
      </c>
      <c r="E444" s="15">
        <f>(2+1.2)*2*0.22*0.3</f>
        <v>0.42240000000000005</v>
      </c>
      <c r="F444" s="16">
        <v>1869307</v>
      </c>
      <c r="G444" s="17">
        <v>1</v>
      </c>
      <c r="H444" s="18">
        <f>ROUND(E444*F444*G444,-3)</f>
        <v>790000</v>
      </c>
      <c r="I444" s="227">
        <f t="shared" si="48"/>
        <v>790000</v>
      </c>
      <c r="J444" s="174"/>
      <c r="K444" s="153"/>
      <c r="L444" s="153"/>
      <c r="M444" s="153"/>
      <c r="N444" s="153"/>
      <c r="O444" s="153"/>
      <c r="P444" s="153"/>
      <c r="Q444" s="181"/>
      <c r="R444" s="181"/>
      <c r="S444" s="160"/>
      <c r="T444" s="160"/>
      <c r="U444" s="160"/>
    </row>
    <row r="445" spans="1:21" s="3" customFormat="1" ht="39.6" customHeight="1" x14ac:dyDescent="0.25">
      <c r="A445" s="31"/>
      <c r="B445" s="34" t="s">
        <v>44</v>
      </c>
      <c r="C445" s="33" t="s">
        <v>262</v>
      </c>
      <c r="D445" s="14" t="s">
        <v>14</v>
      </c>
      <c r="E445" s="15">
        <f>(2+1.2)*2*0.11*1</f>
        <v>0.70400000000000007</v>
      </c>
      <c r="F445" s="16">
        <v>2218558</v>
      </c>
      <c r="G445" s="17">
        <v>1</v>
      </c>
      <c r="H445" s="18">
        <f>ROUND(E445*F445*G445,-3)</f>
        <v>1562000</v>
      </c>
      <c r="I445" s="227">
        <f t="shared" si="48"/>
        <v>1562000</v>
      </c>
      <c r="J445" s="174"/>
      <c r="K445" s="153"/>
      <c r="L445" s="153"/>
      <c r="M445" s="153"/>
      <c r="N445" s="153"/>
      <c r="O445" s="153"/>
      <c r="P445" s="153"/>
      <c r="Q445" s="181"/>
      <c r="R445" s="181"/>
      <c r="S445" s="160"/>
      <c r="T445" s="160"/>
      <c r="U445" s="160"/>
    </row>
    <row r="446" spans="1:21" s="19" customFormat="1" ht="26.1" customHeight="1" x14ac:dyDescent="0.25">
      <c r="A446" s="31"/>
      <c r="B446" s="34" t="s">
        <v>122</v>
      </c>
      <c r="C446" s="33" t="s">
        <v>339</v>
      </c>
      <c r="D446" s="14" t="s">
        <v>13</v>
      </c>
      <c r="E446" s="15">
        <f>2*1.2</f>
        <v>2.4</v>
      </c>
      <c r="F446" s="16">
        <v>87739</v>
      </c>
      <c r="G446" s="17">
        <v>1</v>
      </c>
      <c r="H446" s="18">
        <f t="shared" ref="H446" si="54">ROUND(E446*F446*G446,-3)</f>
        <v>211000</v>
      </c>
      <c r="I446" s="227">
        <f t="shared" si="48"/>
        <v>211000</v>
      </c>
      <c r="J446" s="200"/>
      <c r="K446" s="161"/>
      <c r="L446" s="161"/>
      <c r="M446" s="161"/>
      <c r="N446" s="161"/>
      <c r="O446" s="161"/>
      <c r="P446" s="161"/>
      <c r="Q446" s="201"/>
      <c r="R446" s="201"/>
      <c r="S446" s="162"/>
      <c r="T446" s="162"/>
      <c r="U446" s="162"/>
    </row>
    <row r="447" spans="1:21" s="19" customFormat="1" ht="53.25" customHeight="1" x14ac:dyDescent="0.25">
      <c r="A447" s="81" t="s">
        <v>236</v>
      </c>
      <c r="B447" s="148" t="s">
        <v>400</v>
      </c>
      <c r="C447" s="149"/>
      <c r="D447" s="40" t="s">
        <v>237</v>
      </c>
      <c r="E447" s="118">
        <v>1</v>
      </c>
      <c r="F447" s="126">
        <v>30000000</v>
      </c>
      <c r="G447" s="150">
        <v>1</v>
      </c>
      <c r="H447" s="82">
        <f>F447</f>
        <v>30000000</v>
      </c>
      <c r="I447" s="227">
        <f t="shared" si="48"/>
        <v>30000000</v>
      </c>
      <c r="J447" s="200"/>
      <c r="K447" s="161"/>
      <c r="L447" s="161"/>
      <c r="M447" s="161"/>
      <c r="N447" s="161"/>
      <c r="O447" s="161"/>
      <c r="P447" s="161"/>
      <c r="Q447" s="201"/>
      <c r="R447" s="201"/>
      <c r="S447" s="161">
        <f>H447</f>
        <v>30000000</v>
      </c>
      <c r="T447" s="162"/>
      <c r="U447" s="162"/>
    </row>
    <row r="448" spans="1:21" s="19" customFormat="1" ht="53.25" customHeight="1" x14ac:dyDescent="0.25">
      <c r="A448" s="81" t="s">
        <v>238</v>
      </c>
      <c r="B448" s="148" t="s">
        <v>402</v>
      </c>
      <c r="C448" s="149"/>
      <c r="D448" s="40" t="s">
        <v>13</v>
      </c>
      <c r="E448" s="118">
        <v>29.7</v>
      </c>
      <c r="F448" s="126">
        <v>30000</v>
      </c>
      <c r="G448" s="150">
        <v>1</v>
      </c>
      <c r="H448" s="82">
        <f>E448*F448</f>
        <v>891000</v>
      </c>
      <c r="I448" s="227">
        <f t="shared" si="48"/>
        <v>891000</v>
      </c>
      <c r="J448" s="200"/>
      <c r="K448" s="161"/>
      <c r="L448" s="161"/>
      <c r="M448" s="161"/>
      <c r="N448" s="161"/>
      <c r="O448" s="161"/>
      <c r="P448" s="161"/>
      <c r="Q448" s="201"/>
      <c r="R448" s="201"/>
      <c r="S448" s="161">
        <f>H448</f>
        <v>891000</v>
      </c>
      <c r="T448" s="162"/>
      <c r="U448" s="162"/>
    </row>
    <row r="449" spans="1:21" s="4" customFormat="1" ht="34.15" customHeight="1" x14ac:dyDescent="0.25">
      <c r="A449" s="81" t="s">
        <v>139</v>
      </c>
      <c r="B449" s="440" t="s">
        <v>413</v>
      </c>
      <c r="C449" s="440"/>
      <c r="D449" s="440"/>
      <c r="E449" s="440"/>
      <c r="F449" s="440"/>
      <c r="G449" s="440"/>
      <c r="H449" s="82">
        <f>H455+H466+H450+H514+H515</f>
        <v>468892000</v>
      </c>
      <c r="I449" s="227">
        <f t="shared" si="48"/>
        <v>0</v>
      </c>
      <c r="J449" s="174">
        <f>H449-I449</f>
        <v>468892000</v>
      </c>
      <c r="K449" s="153"/>
      <c r="L449" s="153"/>
      <c r="M449" s="153"/>
      <c r="N449" s="153"/>
      <c r="O449" s="153"/>
      <c r="P449" s="153"/>
      <c r="Q449" s="188"/>
      <c r="R449" s="188"/>
      <c r="S449" s="155"/>
      <c r="T449" s="155"/>
      <c r="U449" s="155"/>
    </row>
    <row r="450" spans="1:21" s="9" customFormat="1" ht="66.75" customHeight="1" x14ac:dyDescent="0.25">
      <c r="A450" s="83" t="s">
        <v>11</v>
      </c>
      <c r="B450" s="453" t="s">
        <v>407</v>
      </c>
      <c r="C450" s="453"/>
      <c r="D450" s="453"/>
      <c r="E450" s="453"/>
      <c r="F450" s="453"/>
      <c r="G450" s="246"/>
      <c r="H450" s="84">
        <f>SUM(H451:H454)</f>
        <v>283651000</v>
      </c>
      <c r="I450" s="227">
        <f t="shared" si="48"/>
        <v>0</v>
      </c>
      <c r="J450" s="189"/>
      <c r="K450" s="175">
        <f>H451+H454</f>
        <v>248558000</v>
      </c>
      <c r="L450" s="175"/>
      <c r="M450" s="175"/>
      <c r="N450" s="175"/>
      <c r="O450" s="175"/>
      <c r="P450" s="190"/>
      <c r="Q450" s="156"/>
      <c r="R450" s="156"/>
      <c r="S450" s="157"/>
      <c r="T450" s="157"/>
      <c r="U450" s="157"/>
    </row>
    <row r="451" spans="1:21" s="8" customFormat="1" ht="26.1" customHeight="1" x14ac:dyDescent="0.25">
      <c r="A451" s="85"/>
      <c r="B451" s="86" t="s">
        <v>239</v>
      </c>
      <c r="C451" s="87" t="s">
        <v>240</v>
      </c>
      <c r="D451" s="85" t="s">
        <v>13</v>
      </c>
      <c r="E451" s="92">
        <v>119.7</v>
      </c>
      <c r="F451" s="89">
        <v>75000</v>
      </c>
      <c r="G451" s="247">
        <v>1</v>
      </c>
      <c r="H451" s="91">
        <f>ROUND(E451*F451*G451,-3)</f>
        <v>8978000</v>
      </c>
      <c r="I451" s="227">
        <f t="shared" si="48"/>
        <v>8978000</v>
      </c>
      <c r="J451" s="191"/>
      <c r="K451" s="192"/>
      <c r="L451" s="192"/>
      <c r="M451" s="192"/>
      <c r="N451" s="192"/>
      <c r="O451" s="192"/>
      <c r="P451" s="193"/>
      <c r="Q451" s="158"/>
      <c r="R451" s="158"/>
      <c r="S451" s="159"/>
      <c r="T451" s="159"/>
      <c r="U451" s="159"/>
    </row>
    <row r="452" spans="1:21" s="8" customFormat="1" ht="40.5" customHeight="1" x14ac:dyDescent="0.25">
      <c r="A452" s="85"/>
      <c r="B452" s="86" t="s">
        <v>58</v>
      </c>
      <c r="C452" s="87"/>
      <c r="D452" s="85" t="s">
        <v>13</v>
      </c>
      <c r="E452" s="92">
        <f>E451</f>
        <v>119.7</v>
      </c>
      <c r="F452" s="89">
        <f>F451*3</f>
        <v>225000</v>
      </c>
      <c r="G452" s="247">
        <v>1</v>
      </c>
      <c r="H452" s="91">
        <f>ROUND(E452*F452*G452,-3)</f>
        <v>26933000</v>
      </c>
      <c r="I452" s="227">
        <f t="shared" si="48"/>
        <v>26933000</v>
      </c>
      <c r="J452" s="191"/>
      <c r="K452" s="192"/>
      <c r="L452" s="192">
        <f>H452</f>
        <v>26933000</v>
      </c>
      <c r="M452" s="192"/>
      <c r="N452" s="192"/>
      <c r="O452" s="192"/>
      <c r="P452" s="193"/>
      <c r="Q452" s="158"/>
      <c r="R452" s="158"/>
      <c r="S452" s="159"/>
      <c r="T452" s="159"/>
      <c r="U452" s="159"/>
    </row>
    <row r="453" spans="1:21" s="239" customFormat="1" ht="29.25" customHeight="1" x14ac:dyDescent="0.25">
      <c r="A453" s="85"/>
      <c r="B453" s="86" t="s">
        <v>393</v>
      </c>
      <c r="C453" s="87"/>
      <c r="D453" s="85" t="s">
        <v>396</v>
      </c>
      <c r="E453" s="88">
        <v>8</v>
      </c>
      <c r="F453" s="89">
        <f>30*17000*2</f>
        <v>1020000</v>
      </c>
      <c r="G453" s="247">
        <v>1</v>
      </c>
      <c r="H453" s="91">
        <f>ROUND(E453*F453*G453,-3)</f>
        <v>8160000</v>
      </c>
      <c r="I453" s="227">
        <f t="shared" si="48"/>
        <v>8160000</v>
      </c>
      <c r="J453" s="240"/>
      <c r="K453" s="241"/>
      <c r="L453" s="241"/>
      <c r="M453" s="241"/>
      <c r="N453" s="241">
        <f>H453</f>
        <v>8160000</v>
      </c>
      <c r="O453" s="241"/>
      <c r="P453" s="242"/>
      <c r="Q453" s="172"/>
      <c r="R453" s="172"/>
      <c r="S453" s="238"/>
      <c r="T453" s="238"/>
      <c r="U453" s="238"/>
    </row>
    <row r="454" spans="1:21" s="8" customFormat="1" ht="26.1" customHeight="1" x14ac:dyDescent="0.25">
      <c r="A454" s="85"/>
      <c r="B454" s="86" t="s">
        <v>241</v>
      </c>
      <c r="C454" s="87" t="s">
        <v>242</v>
      </c>
      <c r="D454" s="85" t="s">
        <v>13</v>
      </c>
      <c r="E454" s="88">
        <v>133.1</v>
      </c>
      <c r="F454" s="89">
        <v>3000000</v>
      </c>
      <c r="G454" s="247">
        <v>0.6</v>
      </c>
      <c r="H454" s="91">
        <f>ROUND(E454*F454*G454,-3)</f>
        <v>239580000</v>
      </c>
      <c r="I454" s="227">
        <f t="shared" si="48"/>
        <v>239580000</v>
      </c>
      <c r="J454" s="191"/>
      <c r="K454" s="192"/>
      <c r="L454" s="192"/>
      <c r="M454" s="192"/>
      <c r="N454" s="192"/>
      <c r="O454" s="192"/>
      <c r="P454" s="193"/>
      <c r="Q454" s="158"/>
      <c r="R454" s="158"/>
      <c r="S454" s="159"/>
      <c r="T454" s="159"/>
      <c r="U454" s="159"/>
    </row>
    <row r="455" spans="1:21" s="3" customFormat="1" ht="39.6" customHeight="1" x14ac:dyDescent="0.25">
      <c r="A455" s="97" t="s">
        <v>12</v>
      </c>
      <c r="B455" s="432" t="s">
        <v>373</v>
      </c>
      <c r="C455" s="432"/>
      <c r="D455" s="432"/>
      <c r="E455" s="432"/>
      <c r="F455" s="432"/>
      <c r="G455" s="432"/>
      <c r="H455" s="82">
        <f>SUM(H456:H465)</f>
        <v>6568000</v>
      </c>
      <c r="I455" s="227">
        <f t="shared" ref="I455:I517" si="55">ROUND(G455*F455*E455,-3)</f>
        <v>0</v>
      </c>
      <c r="J455" s="174"/>
      <c r="K455" s="153"/>
      <c r="L455" s="153"/>
      <c r="M455" s="153"/>
      <c r="N455" s="153"/>
      <c r="O455" s="153">
        <f>H455</f>
        <v>6568000</v>
      </c>
      <c r="P455" s="153"/>
      <c r="Q455" s="181"/>
      <c r="R455" s="181"/>
      <c r="S455" s="160"/>
      <c r="T455" s="160"/>
      <c r="U455" s="160"/>
    </row>
    <row r="456" spans="1:21" s="3" customFormat="1" ht="26.1" customHeight="1" x14ac:dyDescent="0.25">
      <c r="A456" s="31"/>
      <c r="B456" s="35" t="s">
        <v>124</v>
      </c>
      <c r="C456" s="36" t="s">
        <v>334</v>
      </c>
      <c r="D456" s="14" t="s">
        <v>16</v>
      </c>
      <c r="E456" s="37">
        <v>1</v>
      </c>
      <c r="F456" s="38">
        <v>378000</v>
      </c>
      <c r="G456" s="249">
        <v>1</v>
      </c>
      <c r="H456" s="39">
        <f>ROUND(E456*F456*G456,-3)</f>
        <v>378000</v>
      </c>
      <c r="I456" s="227">
        <f t="shared" si="55"/>
        <v>378000</v>
      </c>
      <c r="J456" s="174"/>
      <c r="K456" s="153"/>
      <c r="L456" s="153"/>
      <c r="M456" s="153"/>
      <c r="N456" s="153"/>
      <c r="O456" s="153"/>
      <c r="P456" s="153"/>
      <c r="Q456" s="181"/>
      <c r="R456" s="181"/>
      <c r="S456" s="160"/>
      <c r="T456" s="160"/>
      <c r="U456" s="160"/>
    </row>
    <row r="457" spans="1:21" s="3" customFormat="1" ht="26.1" customHeight="1" x14ac:dyDescent="0.25">
      <c r="A457" s="31"/>
      <c r="B457" s="35" t="s">
        <v>129</v>
      </c>
      <c r="C457" s="36" t="s">
        <v>340</v>
      </c>
      <c r="D457" s="14" t="s">
        <v>16</v>
      </c>
      <c r="E457" s="37">
        <v>1</v>
      </c>
      <c r="F457" s="38">
        <v>350000</v>
      </c>
      <c r="G457" s="249">
        <v>1</v>
      </c>
      <c r="H457" s="39">
        <f t="shared" ref="H457:H465" si="56">ROUND(E457*F457*G457,-3)</f>
        <v>350000</v>
      </c>
      <c r="I457" s="227">
        <f t="shared" si="55"/>
        <v>350000</v>
      </c>
      <c r="J457" s="174"/>
      <c r="K457" s="153"/>
      <c r="L457" s="153"/>
      <c r="M457" s="153"/>
      <c r="N457" s="153"/>
      <c r="O457" s="153"/>
      <c r="P457" s="153"/>
      <c r="Q457" s="181"/>
      <c r="R457" s="181"/>
      <c r="S457" s="160"/>
      <c r="T457" s="160"/>
      <c r="U457" s="160"/>
    </row>
    <row r="458" spans="1:21" s="3" customFormat="1" ht="26.1" customHeight="1" x14ac:dyDescent="0.25">
      <c r="A458" s="31"/>
      <c r="B458" s="35" t="s">
        <v>341</v>
      </c>
      <c r="C458" s="36" t="s">
        <v>299</v>
      </c>
      <c r="D458" s="14" t="s">
        <v>16</v>
      </c>
      <c r="E458" s="37">
        <v>2</v>
      </c>
      <c r="F458" s="38">
        <v>500000</v>
      </c>
      <c r="G458" s="249">
        <v>1</v>
      </c>
      <c r="H458" s="39">
        <f t="shared" si="56"/>
        <v>1000000</v>
      </c>
      <c r="I458" s="227">
        <f t="shared" si="55"/>
        <v>1000000</v>
      </c>
      <c r="J458" s="174"/>
      <c r="K458" s="153"/>
      <c r="L458" s="153"/>
      <c r="M458" s="153"/>
      <c r="N458" s="153"/>
      <c r="O458" s="153"/>
      <c r="P458" s="153"/>
      <c r="Q458" s="181"/>
      <c r="R458" s="181"/>
      <c r="S458" s="160"/>
      <c r="T458" s="160"/>
      <c r="U458" s="160"/>
    </row>
    <row r="459" spans="1:21" s="3" customFormat="1" ht="26.1" customHeight="1" x14ac:dyDescent="0.25">
      <c r="A459" s="31"/>
      <c r="B459" s="35" t="s">
        <v>342</v>
      </c>
      <c r="C459" s="36" t="s">
        <v>300</v>
      </c>
      <c r="D459" s="14" t="s">
        <v>16</v>
      </c>
      <c r="E459" s="37">
        <v>4</v>
      </c>
      <c r="F459" s="38">
        <v>350000</v>
      </c>
      <c r="G459" s="249">
        <v>1</v>
      </c>
      <c r="H459" s="39">
        <f t="shared" si="56"/>
        <v>1400000</v>
      </c>
      <c r="I459" s="227">
        <f t="shared" si="55"/>
        <v>1400000</v>
      </c>
      <c r="J459" s="174"/>
      <c r="K459" s="153"/>
      <c r="L459" s="153"/>
      <c r="M459" s="153"/>
      <c r="N459" s="153"/>
      <c r="O459" s="153"/>
      <c r="P459" s="153"/>
      <c r="Q459" s="181"/>
      <c r="R459" s="181"/>
      <c r="S459" s="160"/>
      <c r="T459" s="160"/>
      <c r="U459" s="160"/>
    </row>
    <row r="460" spans="1:21" s="3" customFormat="1" ht="26.1" customHeight="1" x14ac:dyDescent="0.25">
      <c r="A460" s="31"/>
      <c r="B460" s="35" t="s">
        <v>128</v>
      </c>
      <c r="C460" s="36" t="s">
        <v>312</v>
      </c>
      <c r="D460" s="14" t="s">
        <v>16</v>
      </c>
      <c r="E460" s="37">
        <v>10</v>
      </c>
      <c r="F460" s="38">
        <v>100000</v>
      </c>
      <c r="G460" s="249">
        <v>1</v>
      </c>
      <c r="H460" s="39">
        <f t="shared" si="56"/>
        <v>1000000</v>
      </c>
      <c r="I460" s="227">
        <f t="shared" si="55"/>
        <v>1000000</v>
      </c>
      <c r="J460" s="174"/>
      <c r="K460" s="153"/>
      <c r="L460" s="153"/>
      <c r="M460" s="153"/>
      <c r="N460" s="153"/>
      <c r="O460" s="153"/>
      <c r="P460" s="153"/>
      <c r="Q460" s="181"/>
      <c r="R460" s="181"/>
      <c r="S460" s="160"/>
      <c r="T460" s="160"/>
      <c r="U460" s="160"/>
    </row>
    <row r="461" spans="1:21" s="3" customFormat="1" ht="26.1" customHeight="1" x14ac:dyDescent="0.25">
      <c r="A461" s="31"/>
      <c r="B461" s="35" t="s">
        <v>323</v>
      </c>
      <c r="C461" s="36" t="s">
        <v>296</v>
      </c>
      <c r="D461" s="14" t="s">
        <v>16</v>
      </c>
      <c r="E461" s="37">
        <v>3</v>
      </c>
      <c r="F461" s="38">
        <v>200000</v>
      </c>
      <c r="G461" s="249">
        <v>1</v>
      </c>
      <c r="H461" s="39">
        <f t="shared" si="56"/>
        <v>600000</v>
      </c>
      <c r="I461" s="227">
        <f t="shared" si="55"/>
        <v>600000</v>
      </c>
      <c r="J461" s="174"/>
      <c r="K461" s="153"/>
      <c r="L461" s="153"/>
      <c r="M461" s="153"/>
      <c r="N461" s="153"/>
      <c r="O461" s="153"/>
      <c r="P461" s="153"/>
      <c r="Q461" s="181"/>
      <c r="R461" s="181"/>
      <c r="S461" s="160"/>
      <c r="T461" s="160"/>
      <c r="U461" s="160"/>
    </row>
    <row r="462" spans="1:21" s="3" customFormat="1" ht="26.1" customHeight="1" x14ac:dyDescent="0.25">
      <c r="A462" s="31"/>
      <c r="B462" s="35" t="s">
        <v>125</v>
      </c>
      <c r="C462" s="36" t="s">
        <v>291</v>
      </c>
      <c r="D462" s="14" t="s">
        <v>13</v>
      </c>
      <c r="E462" s="37">
        <v>20</v>
      </c>
      <c r="F462" s="38">
        <v>20000</v>
      </c>
      <c r="G462" s="249">
        <v>1</v>
      </c>
      <c r="H462" s="39">
        <f t="shared" si="56"/>
        <v>400000</v>
      </c>
      <c r="I462" s="227">
        <f t="shared" si="55"/>
        <v>400000</v>
      </c>
      <c r="J462" s="174"/>
      <c r="K462" s="153"/>
      <c r="L462" s="153"/>
      <c r="M462" s="153"/>
      <c r="N462" s="153"/>
      <c r="O462" s="153"/>
      <c r="P462" s="153"/>
      <c r="Q462" s="181"/>
      <c r="R462" s="181"/>
      <c r="S462" s="160"/>
      <c r="T462" s="160"/>
      <c r="U462" s="160"/>
    </row>
    <row r="463" spans="1:21" s="3" customFormat="1" ht="26.1" customHeight="1" x14ac:dyDescent="0.25">
      <c r="A463" s="31"/>
      <c r="B463" s="35" t="s">
        <v>127</v>
      </c>
      <c r="C463" s="36" t="s">
        <v>343</v>
      </c>
      <c r="D463" s="14" t="s">
        <v>13</v>
      </c>
      <c r="E463" s="37">
        <v>30</v>
      </c>
      <c r="F463" s="38">
        <v>10000</v>
      </c>
      <c r="G463" s="249">
        <v>1</v>
      </c>
      <c r="H463" s="39">
        <f t="shared" si="56"/>
        <v>300000</v>
      </c>
      <c r="I463" s="227">
        <f t="shared" si="55"/>
        <v>300000</v>
      </c>
      <c r="J463" s="174"/>
      <c r="K463" s="153"/>
      <c r="L463" s="153"/>
      <c r="M463" s="153"/>
      <c r="N463" s="153"/>
      <c r="O463" s="153"/>
      <c r="P463" s="153"/>
      <c r="Q463" s="181"/>
      <c r="R463" s="181"/>
      <c r="S463" s="160"/>
      <c r="T463" s="160"/>
      <c r="U463" s="160"/>
    </row>
    <row r="464" spans="1:21" s="3" customFormat="1" ht="26.1" customHeight="1" x14ac:dyDescent="0.25">
      <c r="A464" s="31"/>
      <c r="B464" s="35" t="s">
        <v>23</v>
      </c>
      <c r="C464" s="36" t="s">
        <v>291</v>
      </c>
      <c r="D464" s="14" t="s">
        <v>13</v>
      </c>
      <c r="E464" s="37">
        <v>12</v>
      </c>
      <c r="F464" s="38">
        <v>20000</v>
      </c>
      <c r="G464" s="249">
        <v>1</v>
      </c>
      <c r="H464" s="39">
        <f t="shared" si="56"/>
        <v>240000</v>
      </c>
      <c r="I464" s="227">
        <f t="shared" si="55"/>
        <v>240000</v>
      </c>
      <c r="J464" s="174"/>
      <c r="K464" s="153"/>
      <c r="L464" s="153"/>
      <c r="M464" s="153"/>
      <c r="N464" s="153"/>
      <c r="O464" s="153"/>
      <c r="P464" s="153"/>
      <c r="Q464" s="181"/>
      <c r="R464" s="181"/>
      <c r="S464" s="160"/>
      <c r="T464" s="160"/>
      <c r="U464" s="160"/>
    </row>
    <row r="465" spans="1:21" s="3" customFormat="1" ht="26.1" customHeight="1" x14ac:dyDescent="0.25">
      <c r="A465" s="31"/>
      <c r="B465" s="35" t="s">
        <v>336</v>
      </c>
      <c r="C465" s="36" t="s">
        <v>309</v>
      </c>
      <c r="D465" s="14" t="s">
        <v>126</v>
      </c>
      <c r="E465" s="37">
        <v>6</v>
      </c>
      <c r="F465" s="38">
        <v>150000</v>
      </c>
      <c r="G465" s="249">
        <v>1</v>
      </c>
      <c r="H465" s="39">
        <f t="shared" si="56"/>
        <v>900000</v>
      </c>
      <c r="I465" s="227">
        <f t="shared" si="55"/>
        <v>900000</v>
      </c>
      <c r="J465" s="174"/>
      <c r="K465" s="153"/>
      <c r="L465" s="153"/>
      <c r="M465" s="153"/>
      <c r="N465" s="153"/>
      <c r="O465" s="153"/>
      <c r="P465" s="153"/>
      <c r="Q465" s="181"/>
      <c r="R465" s="181"/>
      <c r="S465" s="160"/>
      <c r="T465" s="160"/>
      <c r="U465" s="160"/>
    </row>
    <row r="466" spans="1:21" s="3" customFormat="1" ht="42" customHeight="1" x14ac:dyDescent="0.25">
      <c r="A466" s="97" t="s">
        <v>61</v>
      </c>
      <c r="B466" s="433" t="s">
        <v>372</v>
      </c>
      <c r="C466" s="433"/>
      <c r="D466" s="433"/>
      <c r="E466" s="433"/>
      <c r="F466" s="433"/>
      <c r="G466" s="433"/>
      <c r="H466" s="82">
        <f>H467+H481+H489+H494+H500+H501+H502+H508</f>
        <v>145082000</v>
      </c>
      <c r="I466" s="227">
        <f t="shared" si="55"/>
        <v>0</v>
      </c>
      <c r="J466" s="174"/>
      <c r="K466" s="153"/>
      <c r="L466" s="153"/>
      <c r="M466" s="153"/>
      <c r="N466" s="153"/>
      <c r="O466" s="153"/>
      <c r="P466" s="153">
        <f>H466</f>
        <v>145082000</v>
      </c>
      <c r="Q466" s="181"/>
      <c r="R466" s="181"/>
      <c r="S466" s="160"/>
      <c r="T466" s="160"/>
      <c r="U466" s="160"/>
    </row>
    <row r="467" spans="1:21" s="6" customFormat="1" ht="26.1" customHeight="1" x14ac:dyDescent="0.25">
      <c r="A467" s="61">
        <v>1</v>
      </c>
      <c r="B467" s="62" t="s">
        <v>90</v>
      </c>
      <c r="C467" s="63"/>
      <c r="D467" s="61"/>
      <c r="E467" s="64"/>
      <c r="F467" s="65"/>
      <c r="G467" s="250"/>
      <c r="H467" s="66">
        <f>SUM(H468:H480)</f>
        <v>15132000</v>
      </c>
      <c r="I467" s="227">
        <f t="shared" si="55"/>
        <v>0</v>
      </c>
      <c r="J467" s="202"/>
      <c r="K467" s="202"/>
      <c r="L467" s="202"/>
      <c r="M467" s="202"/>
      <c r="N467" s="202"/>
      <c r="O467" s="203"/>
      <c r="P467" s="204"/>
      <c r="Q467" s="163"/>
      <c r="R467" s="163"/>
      <c r="S467" s="164"/>
      <c r="T467" s="164"/>
      <c r="U467" s="164"/>
    </row>
    <row r="468" spans="1:21" s="44" customFormat="1" ht="48" customHeight="1" x14ac:dyDescent="0.25">
      <c r="A468" s="55"/>
      <c r="B468" s="67" t="s">
        <v>130</v>
      </c>
      <c r="C468" s="57" t="s">
        <v>283</v>
      </c>
      <c r="D468" s="58" t="s">
        <v>13</v>
      </c>
      <c r="E468" s="59">
        <f>2.2*2.2</f>
        <v>4.8400000000000007</v>
      </c>
      <c r="F468" s="60">
        <v>1429813</v>
      </c>
      <c r="G468" s="251">
        <v>1</v>
      </c>
      <c r="H468" s="54">
        <f t="shared" ref="H468:H480" si="57">ROUND(E468*F468*G468,-3)</f>
        <v>6920000</v>
      </c>
      <c r="I468" s="227">
        <f t="shared" si="55"/>
        <v>6920000</v>
      </c>
      <c r="J468" s="207"/>
      <c r="K468" s="207"/>
      <c r="L468" s="207"/>
      <c r="M468" s="207"/>
      <c r="N468" s="207"/>
      <c r="O468" s="208"/>
      <c r="P468" s="208"/>
      <c r="Q468" s="172"/>
      <c r="R468" s="172"/>
      <c r="S468" s="166"/>
      <c r="T468" s="166"/>
      <c r="U468" s="166"/>
    </row>
    <row r="469" spans="1:21" s="6" customFormat="1" ht="42.6" customHeight="1" x14ac:dyDescent="0.25">
      <c r="A469" s="55"/>
      <c r="B469" s="454" t="s">
        <v>131</v>
      </c>
      <c r="C469" s="455"/>
      <c r="D469" s="455"/>
      <c r="E469" s="455"/>
      <c r="F469" s="456"/>
      <c r="G469" s="251"/>
      <c r="H469" s="54">
        <f t="shared" si="57"/>
        <v>0</v>
      </c>
      <c r="I469" s="227">
        <f t="shared" si="55"/>
        <v>0</v>
      </c>
      <c r="J469" s="202"/>
      <c r="K469" s="202"/>
      <c r="L469" s="202"/>
      <c r="M469" s="202"/>
      <c r="N469" s="202"/>
      <c r="O469" s="203"/>
      <c r="P469" s="204"/>
      <c r="Q469" s="158"/>
      <c r="R469" s="158"/>
      <c r="S469" s="164"/>
      <c r="T469" s="164"/>
      <c r="U469" s="164"/>
    </row>
    <row r="470" spans="1:21" s="6" customFormat="1" ht="42.75" customHeight="1" x14ac:dyDescent="0.25">
      <c r="A470" s="55"/>
      <c r="B470" s="67" t="s">
        <v>25</v>
      </c>
      <c r="C470" s="57" t="s">
        <v>273</v>
      </c>
      <c r="D470" s="58" t="s">
        <v>14</v>
      </c>
      <c r="E470" s="59">
        <f>0.6*0.7*0.6*2</f>
        <v>0.504</v>
      </c>
      <c r="F470" s="60">
        <v>386181</v>
      </c>
      <c r="G470" s="251">
        <v>1</v>
      </c>
      <c r="H470" s="54">
        <f t="shared" si="57"/>
        <v>195000</v>
      </c>
      <c r="I470" s="227">
        <f t="shared" si="55"/>
        <v>195000</v>
      </c>
      <c r="J470" s="202"/>
      <c r="K470" s="202"/>
      <c r="L470" s="202"/>
      <c r="M470" s="202"/>
      <c r="N470" s="202"/>
      <c r="O470" s="203"/>
      <c r="P470" s="204"/>
      <c r="Q470" s="158"/>
      <c r="R470" s="158"/>
      <c r="S470" s="164"/>
      <c r="T470" s="164"/>
      <c r="U470" s="164"/>
    </row>
    <row r="471" spans="1:21" s="6" customFormat="1" ht="26.1" customHeight="1" x14ac:dyDescent="0.25">
      <c r="A471" s="55"/>
      <c r="B471" s="56" t="s">
        <v>42</v>
      </c>
      <c r="C471" s="57" t="s">
        <v>274</v>
      </c>
      <c r="D471" s="58" t="s">
        <v>14</v>
      </c>
      <c r="E471" s="59">
        <f>E470/3</f>
        <v>0.16800000000000001</v>
      </c>
      <c r="F471" s="60">
        <v>185275</v>
      </c>
      <c r="G471" s="251">
        <v>1</v>
      </c>
      <c r="H471" s="54">
        <f t="shared" si="57"/>
        <v>31000</v>
      </c>
      <c r="I471" s="227">
        <f t="shared" si="55"/>
        <v>31000</v>
      </c>
      <c r="J471" s="202"/>
      <c r="K471" s="202"/>
      <c r="L471" s="202"/>
      <c r="M471" s="202"/>
      <c r="N471" s="202"/>
      <c r="O471" s="203"/>
      <c r="P471" s="204"/>
      <c r="Q471" s="158"/>
      <c r="R471" s="158"/>
      <c r="S471" s="164"/>
      <c r="T471" s="164"/>
      <c r="U471" s="164"/>
    </row>
    <row r="472" spans="1:21" s="6" customFormat="1" ht="26.1" customHeight="1" x14ac:dyDescent="0.25">
      <c r="A472" s="55"/>
      <c r="B472" s="67" t="s">
        <v>95</v>
      </c>
      <c r="C472" s="57" t="s">
        <v>285</v>
      </c>
      <c r="D472" s="58" t="s">
        <v>14</v>
      </c>
      <c r="E472" s="59">
        <f>0.5*0.6*0.6*2</f>
        <v>0.36</v>
      </c>
      <c r="F472" s="60">
        <v>1869307</v>
      </c>
      <c r="G472" s="251">
        <v>1</v>
      </c>
      <c r="H472" s="54">
        <f t="shared" si="57"/>
        <v>673000</v>
      </c>
      <c r="I472" s="227">
        <f t="shared" si="55"/>
        <v>673000</v>
      </c>
      <c r="J472" s="202"/>
      <c r="K472" s="202"/>
      <c r="L472" s="202"/>
      <c r="M472" s="202"/>
      <c r="N472" s="202"/>
      <c r="O472" s="203"/>
      <c r="P472" s="204"/>
      <c r="Q472" s="158"/>
      <c r="R472" s="158"/>
      <c r="S472" s="164"/>
      <c r="T472" s="164"/>
      <c r="U472" s="164"/>
    </row>
    <row r="473" spans="1:21" s="6" customFormat="1" ht="40.5" customHeight="1" x14ac:dyDescent="0.25">
      <c r="A473" s="55"/>
      <c r="B473" s="67" t="s">
        <v>26</v>
      </c>
      <c r="C473" s="57" t="s">
        <v>276</v>
      </c>
      <c r="D473" s="58" t="s">
        <v>14</v>
      </c>
      <c r="E473" s="59">
        <f>0.35*0.45*2.4*2</f>
        <v>0.75600000000000001</v>
      </c>
      <c r="F473" s="60">
        <v>2543957</v>
      </c>
      <c r="G473" s="251">
        <v>1</v>
      </c>
      <c r="H473" s="54">
        <f t="shared" si="57"/>
        <v>1923000</v>
      </c>
      <c r="I473" s="227">
        <f t="shared" si="55"/>
        <v>1923000</v>
      </c>
      <c r="J473" s="202"/>
      <c r="K473" s="202"/>
      <c r="L473" s="202"/>
      <c r="M473" s="202"/>
      <c r="N473" s="202"/>
      <c r="O473" s="203"/>
      <c r="P473" s="204"/>
      <c r="Q473" s="158"/>
      <c r="R473" s="158"/>
      <c r="S473" s="164"/>
      <c r="T473" s="164"/>
      <c r="U473" s="164"/>
    </row>
    <row r="474" spans="1:21" s="6" customFormat="1" ht="26.1" customHeight="1" x14ac:dyDescent="0.25">
      <c r="A474" s="55"/>
      <c r="B474" s="67" t="s">
        <v>28</v>
      </c>
      <c r="C474" s="57" t="s">
        <v>278</v>
      </c>
      <c r="D474" s="58" t="s">
        <v>13</v>
      </c>
      <c r="E474" s="59">
        <f>(0.35+0.45)*2*2.4*2</f>
        <v>7.68</v>
      </c>
      <c r="F474" s="60">
        <v>242854</v>
      </c>
      <c r="G474" s="251">
        <v>1</v>
      </c>
      <c r="H474" s="54">
        <f t="shared" si="57"/>
        <v>1865000</v>
      </c>
      <c r="I474" s="227">
        <f t="shared" si="55"/>
        <v>1865000</v>
      </c>
      <c r="J474" s="202"/>
      <c r="K474" s="202"/>
      <c r="L474" s="202"/>
      <c r="M474" s="202"/>
      <c r="N474" s="202"/>
      <c r="O474" s="203"/>
      <c r="P474" s="204"/>
      <c r="Q474" s="158"/>
      <c r="R474" s="158"/>
      <c r="S474" s="164"/>
      <c r="T474" s="164"/>
      <c r="U474" s="164"/>
    </row>
    <row r="475" spans="1:21" s="44" customFormat="1" ht="29.45" customHeight="1" x14ac:dyDescent="0.25">
      <c r="A475" s="40"/>
      <c r="B475" s="34" t="s">
        <v>32</v>
      </c>
      <c r="C475" s="41" t="s">
        <v>277</v>
      </c>
      <c r="D475" s="14" t="s">
        <v>13</v>
      </c>
      <c r="E475" s="42">
        <f>E474</f>
        <v>7.68</v>
      </c>
      <c r="F475" s="16">
        <v>16279</v>
      </c>
      <c r="G475" s="243">
        <v>1</v>
      </c>
      <c r="H475" s="43">
        <f t="shared" si="57"/>
        <v>125000</v>
      </c>
      <c r="I475" s="227">
        <f t="shared" si="55"/>
        <v>125000</v>
      </c>
      <c r="J475" s="207"/>
      <c r="K475" s="207"/>
      <c r="L475" s="207"/>
      <c r="M475" s="207"/>
      <c r="N475" s="207"/>
      <c r="O475" s="208"/>
      <c r="P475" s="208"/>
      <c r="Q475" s="172"/>
      <c r="R475" s="172"/>
      <c r="S475" s="166"/>
      <c r="T475" s="166"/>
      <c r="U475" s="166"/>
    </row>
    <row r="476" spans="1:21" s="6" customFormat="1" ht="35.25" customHeight="1" x14ac:dyDescent="0.25">
      <c r="A476" s="55"/>
      <c r="B476" s="454" t="s">
        <v>132</v>
      </c>
      <c r="C476" s="455"/>
      <c r="D476" s="455"/>
      <c r="E476" s="455"/>
      <c r="F476" s="456"/>
      <c r="G476" s="251"/>
      <c r="H476" s="54">
        <f t="shared" si="57"/>
        <v>0</v>
      </c>
      <c r="I476" s="227">
        <f t="shared" si="55"/>
        <v>0</v>
      </c>
      <c r="J476" s="202"/>
      <c r="K476" s="202"/>
      <c r="L476" s="202"/>
      <c r="M476" s="202"/>
      <c r="N476" s="202"/>
      <c r="O476" s="203"/>
      <c r="P476" s="204"/>
      <c r="Q476" s="158"/>
      <c r="R476" s="158"/>
      <c r="S476" s="164"/>
      <c r="T476" s="164"/>
      <c r="U476" s="164"/>
    </row>
    <row r="477" spans="1:21" s="6" customFormat="1" ht="33.75" customHeight="1" x14ac:dyDescent="0.25">
      <c r="A477" s="55"/>
      <c r="B477" s="108" t="s">
        <v>29</v>
      </c>
      <c r="C477" s="57" t="s">
        <v>279</v>
      </c>
      <c r="D477" s="58" t="s">
        <v>14</v>
      </c>
      <c r="E477" s="59">
        <f>3.4*1.1*0.12</f>
        <v>0.44880000000000003</v>
      </c>
      <c r="F477" s="60">
        <v>2687552</v>
      </c>
      <c r="G477" s="251">
        <v>1</v>
      </c>
      <c r="H477" s="54">
        <f t="shared" si="57"/>
        <v>1206000</v>
      </c>
      <c r="I477" s="227">
        <f t="shared" si="55"/>
        <v>1206000</v>
      </c>
      <c r="J477" s="202"/>
      <c r="K477" s="202"/>
      <c r="L477" s="202"/>
      <c r="M477" s="202"/>
      <c r="N477" s="202"/>
      <c r="O477" s="203"/>
      <c r="P477" s="204"/>
      <c r="Q477" s="158"/>
      <c r="R477" s="158"/>
      <c r="S477" s="164"/>
      <c r="T477" s="164"/>
      <c r="U477" s="164"/>
    </row>
    <row r="478" spans="1:21" s="6" customFormat="1" ht="42.75" customHeight="1" x14ac:dyDescent="0.25">
      <c r="A478" s="55"/>
      <c r="B478" s="107" t="s">
        <v>30</v>
      </c>
      <c r="C478" s="57" t="s">
        <v>280</v>
      </c>
      <c r="D478" s="58" t="s">
        <v>15</v>
      </c>
      <c r="E478" s="59">
        <f>((34*1.1)+(3.4*11))*0.395</f>
        <v>29.546000000000006</v>
      </c>
      <c r="F478" s="60">
        <v>26982</v>
      </c>
      <c r="G478" s="251">
        <v>1</v>
      </c>
      <c r="H478" s="54">
        <f t="shared" si="57"/>
        <v>797000</v>
      </c>
      <c r="I478" s="227">
        <f t="shared" si="55"/>
        <v>797000</v>
      </c>
      <c r="J478" s="202"/>
      <c r="K478" s="202"/>
      <c r="L478" s="202"/>
      <c r="M478" s="202"/>
      <c r="N478" s="202"/>
      <c r="O478" s="203"/>
      <c r="P478" s="204"/>
      <c r="Q478" s="158"/>
      <c r="R478" s="158"/>
      <c r="S478" s="164"/>
      <c r="T478" s="164"/>
      <c r="U478" s="164"/>
    </row>
    <row r="479" spans="1:21" s="6" customFormat="1" ht="41.25" customHeight="1" x14ac:dyDescent="0.25">
      <c r="A479" s="55"/>
      <c r="B479" s="107" t="s">
        <v>31</v>
      </c>
      <c r="C479" s="57" t="s">
        <v>281</v>
      </c>
      <c r="D479" s="58" t="s">
        <v>13</v>
      </c>
      <c r="E479" s="59">
        <f>3.4*1.1+(3.4+1.1)*2*0.12</f>
        <v>4.82</v>
      </c>
      <c r="F479" s="60">
        <v>187964</v>
      </c>
      <c r="G479" s="251">
        <v>1</v>
      </c>
      <c r="H479" s="54">
        <f t="shared" si="57"/>
        <v>906000</v>
      </c>
      <c r="I479" s="227">
        <f t="shared" si="55"/>
        <v>906000</v>
      </c>
      <c r="J479" s="202"/>
      <c r="K479" s="202"/>
      <c r="L479" s="202"/>
      <c r="M479" s="202"/>
      <c r="N479" s="202"/>
      <c r="O479" s="203"/>
      <c r="P479" s="204"/>
      <c r="Q479" s="158"/>
      <c r="R479" s="158"/>
      <c r="S479" s="164"/>
      <c r="T479" s="164"/>
      <c r="U479" s="164"/>
    </row>
    <row r="480" spans="1:21" s="44" customFormat="1" ht="41.25" customHeight="1" x14ac:dyDescent="0.25">
      <c r="A480" s="40"/>
      <c r="B480" s="101" t="s">
        <v>98</v>
      </c>
      <c r="C480" s="41" t="s">
        <v>305</v>
      </c>
      <c r="D480" s="14" t="s">
        <v>34</v>
      </c>
      <c r="E480" s="42">
        <f>9</f>
        <v>9</v>
      </c>
      <c r="F480" s="16">
        <v>54544</v>
      </c>
      <c r="G480" s="243">
        <v>1</v>
      </c>
      <c r="H480" s="43">
        <f t="shared" si="57"/>
        <v>491000</v>
      </c>
      <c r="I480" s="227">
        <f t="shared" si="55"/>
        <v>491000</v>
      </c>
      <c r="J480" s="173"/>
      <c r="K480" s="173"/>
      <c r="L480" s="173"/>
      <c r="M480" s="173"/>
      <c r="N480" s="173"/>
      <c r="O480" s="166"/>
      <c r="P480" s="166"/>
      <c r="Q480" s="172"/>
      <c r="R480" s="172"/>
      <c r="S480" s="166"/>
      <c r="T480" s="166"/>
      <c r="U480" s="166"/>
    </row>
    <row r="481" spans="1:21" s="10" customFormat="1" ht="39.6" customHeight="1" x14ac:dyDescent="0.25">
      <c r="A481" s="102">
        <v>2</v>
      </c>
      <c r="B481" s="450" t="s">
        <v>133</v>
      </c>
      <c r="C481" s="451"/>
      <c r="D481" s="451"/>
      <c r="E481" s="451"/>
      <c r="F481" s="452"/>
      <c r="G481" s="106"/>
      <c r="H481" s="104">
        <f>SUM(H482:H488)</f>
        <v>36482000</v>
      </c>
      <c r="I481" s="227">
        <f t="shared" si="55"/>
        <v>0</v>
      </c>
      <c r="J481" s="211"/>
      <c r="K481" s="169"/>
      <c r="L481" s="169"/>
      <c r="M481" s="169"/>
      <c r="N481" s="169"/>
      <c r="O481" s="169"/>
      <c r="P481" s="169"/>
      <c r="Q481" s="212"/>
      <c r="R481" s="212"/>
      <c r="S481" s="170"/>
      <c r="T481" s="170"/>
      <c r="U481" s="170"/>
    </row>
    <row r="482" spans="1:21" s="3" customFormat="1" ht="26.1" customHeight="1" x14ac:dyDescent="0.25">
      <c r="A482" s="31"/>
      <c r="B482" s="34" t="s">
        <v>41</v>
      </c>
      <c r="C482" s="33" t="s">
        <v>284</v>
      </c>
      <c r="D482" s="14" t="s">
        <v>14</v>
      </c>
      <c r="E482" s="15">
        <f>27.6*0.5*0.5</f>
        <v>6.9</v>
      </c>
      <c r="F482" s="16">
        <v>266100</v>
      </c>
      <c r="G482" s="17">
        <v>1</v>
      </c>
      <c r="H482" s="18">
        <f t="shared" ref="H482:H488" si="58">ROUND(E482*F482*G482,-3)</f>
        <v>1836000</v>
      </c>
      <c r="I482" s="227">
        <f t="shared" si="55"/>
        <v>1836000</v>
      </c>
      <c r="J482" s="174"/>
      <c r="K482" s="153"/>
      <c r="L482" s="153"/>
      <c r="M482" s="153"/>
      <c r="N482" s="153"/>
      <c r="O482" s="153"/>
      <c r="P482" s="153"/>
      <c r="Q482" s="181"/>
      <c r="R482" s="181"/>
      <c r="S482" s="160"/>
      <c r="T482" s="160"/>
      <c r="U482" s="160"/>
    </row>
    <row r="483" spans="1:21" s="3" customFormat="1" ht="26.1" customHeight="1" x14ac:dyDescent="0.25">
      <c r="A483" s="31"/>
      <c r="B483" s="34" t="s">
        <v>42</v>
      </c>
      <c r="C483" s="33" t="s">
        <v>274</v>
      </c>
      <c r="D483" s="14" t="s">
        <v>14</v>
      </c>
      <c r="E483" s="15">
        <f>E482/3</f>
        <v>2.3000000000000003</v>
      </c>
      <c r="F483" s="16">
        <v>185275</v>
      </c>
      <c r="G483" s="17">
        <v>1</v>
      </c>
      <c r="H483" s="18">
        <f t="shared" si="58"/>
        <v>426000</v>
      </c>
      <c r="I483" s="227">
        <f t="shared" si="55"/>
        <v>426000</v>
      </c>
      <c r="J483" s="174"/>
      <c r="K483" s="153"/>
      <c r="L483" s="153"/>
      <c r="M483" s="153"/>
      <c r="N483" s="153"/>
      <c r="O483" s="153"/>
      <c r="P483" s="153"/>
      <c r="Q483" s="181"/>
      <c r="R483" s="181"/>
      <c r="S483" s="160"/>
      <c r="T483" s="160"/>
      <c r="U483" s="160"/>
    </row>
    <row r="484" spans="1:21" s="3" customFormat="1" ht="29.45" customHeight="1" x14ac:dyDescent="0.25">
      <c r="A484" s="31"/>
      <c r="B484" s="34" t="s">
        <v>43</v>
      </c>
      <c r="C484" s="33" t="s">
        <v>285</v>
      </c>
      <c r="D484" s="14" t="s">
        <v>14</v>
      </c>
      <c r="E484" s="15">
        <f>27.6*0.33*0.4</f>
        <v>3.6432000000000002</v>
      </c>
      <c r="F484" s="16">
        <v>1869307</v>
      </c>
      <c r="G484" s="17">
        <v>1</v>
      </c>
      <c r="H484" s="18">
        <f t="shared" si="58"/>
        <v>6810000</v>
      </c>
      <c r="I484" s="227">
        <f t="shared" si="55"/>
        <v>6810000</v>
      </c>
      <c r="J484" s="174"/>
      <c r="K484" s="153"/>
      <c r="L484" s="153"/>
      <c r="M484" s="153"/>
      <c r="N484" s="153"/>
      <c r="O484" s="153"/>
      <c r="P484" s="153"/>
      <c r="Q484" s="181"/>
      <c r="R484" s="181"/>
      <c r="S484" s="160"/>
      <c r="T484" s="160"/>
      <c r="U484" s="160"/>
    </row>
    <row r="485" spans="1:21" s="3" customFormat="1" ht="36.6" customHeight="1" x14ac:dyDescent="0.25">
      <c r="A485" s="31"/>
      <c r="B485" s="34" t="s">
        <v>116</v>
      </c>
      <c r="C485" s="33" t="s">
        <v>310</v>
      </c>
      <c r="D485" s="14" t="s">
        <v>14</v>
      </c>
      <c r="E485" s="15">
        <f>27.6*0.22*1.35</f>
        <v>8.1972000000000005</v>
      </c>
      <c r="F485" s="16">
        <v>1612337</v>
      </c>
      <c r="G485" s="17">
        <v>1</v>
      </c>
      <c r="H485" s="18">
        <f t="shared" si="58"/>
        <v>13217000</v>
      </c>
      <c r="I485" s="227">
        <f t="shared" si="55"/>
        <v>13217000</v>
      </c>
      <c r="J485" s="174"/>
      <c r="K485" s="153"/>
      <c r="L485" s="153"/>
      <c r="M485" s="153"/>
      <c r="N485" s="153"/>
      <c r="O485" s="153"/>
      <c r="P485" s="153"/>
      <c r="Q485" s="181"/>
      <c r="R485" s="181"/>
      <c r="S485" s="160"/>
      <c r="T485" s="160"/>
      <c r="U485" s="160"/>
    </row>
    <row r="486" spans="1:21" s="3" customFormat="1" ht="39.6" customHeight="1" x14ac:dyDescent="0.25">
      <c r="A486" s="31"/>
      <c r="B486" s="34" t="s">
        <v>47</v>
      </c>
      <c r="C486" s="33" t="s">
        <v>286</v>
      </c>
      <c r="D486" s="14" t="s">
        <v>13</v>
      </c>
      <c r="E486" s="15">
        <f>27.6*1.35*2</f>
        <v>74.52000000000001</v>
      </c>
      <c r="F486" s="16">
        <v>122264</v>
      </c>
      <c r="G486" s="17">
        <v>1</v>
      </c>
      <c r="H486" s="18">
        <f t="shared" si="58"/>
        <v>9111000</v>
      </c>
      <c r="I486" s="227">
        <f t="shared" si="55"/>
        <v>9111000</v>
      </c>
      <c r="J486" s="174"/>
      <c r="K486" s="153"/>
      <c r="L486" s="153"/>
      <c r="M486" s="153"/>
      <c r="N486" s="153"/>
      <c r="O486" s="153"/>
      <c r="P486" s="153"/>
      <c r="Q486" s="181"/>
      <c r="R486" s="181"/>
      <c r="S486" s="160"/>
      <c r="T486" s="160"/>
      <c r="U486" s="160"/>
    </row>
    <row r="487" spans="1:21" s="6" customFormat="1" ht="40.5" customHeight="1" x14ac:dyDescent="0.25">
      <c r="A487" s="40"/>
      <c r="B487" s="35" t="s">
        <v>26</v>
      </c>
      <c r="C487" s="41" t="s">
        <v>276</v>
      </c>
      <c r="D487" s="14" t="s">
        <v>14</v>
      </c>
      <c r="E487" s="42">
        <f>0.15*0.35*1.35*10</f>
        <v>0.7087500000000001</v>
      </c>
      <c r="F487" s="16">
        <v>2543957</v>
      </c>
      <c r="G487" s="243">
        <v>1</v>
      </c>
      <c r="H487" s="43">
        <f t="shared" si="58"/>
        <v>1803000</v>
      </c>
      <c r="I487" s="227">
        <f t="shared" si="55"/>
        <v>1803000</v>
      </c>
      <c r="J487" s="202"/>
      <c r="K487" s="202"/>
      <c r="L487" s="202"/>
      <c r="M487" s="202"/>
      <c r="N487" s="202"/>
      <c r="O487" s="203"/>
      <c r="P487" s="204"/>
      <c r="Q487" s="158"/>
      <c r="R487" s="158"/>
      <c r="S487" s="164"/>
      <c r="T487" s="164"/>
      <c r="U487" s="164"/>
    </row>
    <row r="488" spans="1:21" s="6" customFormat="1" ht="26.1" customHeight="1" x14ac:dyDescent="0.25">
      <c r="A488" s="40"/>
      <c r="B488" s="35" t="s">
        <v>28</v>
      </c>
      <c r="C488" s="41" t="s">
        <v>278</v>
      </c>
      <c r="D488" s="14" t="s">
        <v>13</v>
      </c>
      <c r="E488" s="42">
        <f>(0.15+0.35)*2*1.35*10</f>
        <v>13.5</v>
      </c>
      <c r="F488" s="16">
        <v>242854</v>
      </c>
      <c r="G488" s="243">
        <v>1</v>
      </c>
      <c r="H488" s="43">
        <f t="shared" si="58"/>
        <v>3279000</v>
      </c>
      <c r="I488" s="227">
        <f t="shared" si="55"/>
        <v>3279000</v>
      </c>
      <c r="J488" s="202"/>
      <c r="K488" s="202"/>
      <c r="L488" s="202"/>
      <c r="M488" s="202"/>
      <c r="N488" s="202"/>
      <c r="O488" s="203"/>
      <c r="P488" s="204"/>
      <c r="Q488" s="158"/>
      <c r="R488" s="158"/>
      <c r="S488" s="164"/>
      <c r="T488" s="164"/>
      <c r="U488" s="164"/>
    </row>
    <row r="489" spans="1:21" s="10" customFormat="1" ht="39.6" customHeight="1" x14ac:dyDescent="0.25">
      <c r="A489" s="102">
        <v>3</v>
      </c>
      <c r="B489" s="450" t="s">
        <v>272</v>
      </c>
      <c r="C489" s="451"/>
      <c r="D489" s="451"/>
      <c r="E489" s="451"/>
      <c r="F489" s="452"/>
      <c r="G489" s="106"/>
      <c r="H489" s="104">
        <f>SUM(H490:H493)</f>
        <v>911000</v>
      </c>
      <c r="I489" s="227">
        <f t="shared" si="55"/>
        <v>0</v>
      </c>
      <c r="J489" s="211"/>
      <c r="K489" s="169"/>
      <c r="L489" s="169"/>
      <c r="M489" s="169"/>
      <c r="N489" s="169"/>
      <c r="O489" s="169"/>
      <c r="P489" s="169"/>
      <c r="Q489" s="212"/>
      <c r="R489" s="212"/>
      <c r="S489" s="170"/>
      <c r="T489" s="170"/>
      <c r="U489" s="170"/>
    </row>
    <row r="490" spans="1:21" s="3" customFormat="1" ht="26.1" customHeight="1" x14ac:dyDescent="0.25">
      <c r="A490" s="31"/>
      <c r="B490" s="34" t="s">
        <v>41</v>
      </c>
      <c r="C490" s="33" t="s">
        <v>284</v>
      </c>
      <c r="D490" s="14" t="s">
        <v>14</v>
      </c>
      <c r="E490" s="15">
        <f>8*0.3*0.3</f>
        <v>0.72</v>
      </c>
      <c r="F490" s="16">
        <v>266100</v>
      </c>
      <c r="G490" s="17">
        <v>0.3</v>
      </c>
      <c r="H490" s="18">
        <f t="shared" ref="H490:H493" si="59">ROUND(E490*F490*G490,-3)</f>
        <v>57000</v>
      </c>
      <c r="I490" s="227">
        <f t="shared" si="55"/>
        <v>57000</v>
      </c>
      <c r="J490" s="174"/>
      <c r="K490" s="153"/>
      <c r="L490" s="153"/>
      <c r="M490" s="153"/>
      <c r="N490" s="153"/>
      <c r="O490" s="153"/>
      <c r="P490" s="153"/>
      <c r="Q490" s="181"/>
      <c r="R490" s="181"/>
      <c r="S490" s="160"/>
      <c r="T490" s="160"/>
      <c r="U490" s="160"/>
    </row>
    <row r="491" spans="1:21" s="3" customFormat="1" ht="26.1" customHeight="1" x14ac:dyDescent="0.25">
      <c r="A491" s="31"/>
      <c r="B491" s="34" t="s">
        <v>42</v>
      </c>
      <c r="C491" s="33" t="s">
        <v>274</v>
      </c>
      <c r="D491" s="14" t="s">
        <v>14</v>
      </c>
      <c r="E491" s="15">
        <f>E490/3</f>
        <v>0.24</v>
      </c>
      <c r="F491" s="16">
        <v>185275</v>
      </c>
      <c r="G491" s="17">
        <v>0.3</v>
      </c>
      <c r="H491" s="18">
        <f t="shared" si="59"/>
        <v>13000</v>
      </c>
      <c r="I491" s="227">
        <f t="shared" si="55"/>
        <v>13000</v>
      </c>
      <c r="J491" s="174"/>
      <c r="K491" s="153"/>
      <c r="L491" s="153"/>
      <c r="M491" s="153"/>
      <c r="N491" s="153"/>
      <c r="O491" s="153"/>
      <c r="P491" s="153"/>
      <c r="Q491" s="181"/>
      <c r="R491" s="181"/>
      <c r="S491" s="160"/>
      <c r="T491" s="160"/>
      <c r="U491" s="160"/>
    </row>
    <row r="492" spans="1:21" s="3" customFormat="1" ht="29.45" customHeight="1" x14ac:dyDescent="0.25">
      <c r="A492" s="31"/>
      <c r="B492" s="34" t="s">
        <v>49</v>
      </c>
      <c r="C492" s="33" t="s">
        <v>289</v>
      </c>
      <c r="D492" s="14" t="s">
        <v>14</v>
      </c>
      <c r="E492" s="15">
        <f>8*0.22*0.3</f>
        <v>0.52800000000000002</v>
      </c>
      <c r="F492" s="16">
        <v>1952153</v>
      </c>
      <c r="G492" s="17">
        <v>0.3</v>
      </c>
      <c r="H492" s="18">
        <f t="shared" si="59"/>
        <v>309000</v>
      </c>
      <c r="I492" s="227">
        <f t="shared" si="55"/>
        <v>309000</v>
      </c>
      <c r="J492" s="174"/>
      <c r="K492" s="153"/>
      <c r="L492" s="153"/>
      <c r="M492" s="153"/>
      <c r="N492" s="153"/>
      <c r="O492" s="153"/>
      <c r="P492" s="153"/>
      <c r="Q492" s="181"/>
      <c r="R492" s="181"/>
      <c r="S492" s="160"/>
      <c r="T492" s="160"/>
      <c r="U492" s="160"/>
    </row>
    <row r="493" spans="1:21" s="3" customFormat="1" ht="36.6" customHeight="1" x14ac:dyDescent="0.25">
      <c r="A493" s="31"/>
      <c r="B493" s="34" t="s">
        <v>50</v>
      </c>
      <c r="C493" s="33" t="s">
        <v>290</v>
      </c>
      <c r="D493" s="14" t="s">
        <v>14</v>
      </c>
      <c r="E493" s="15">
        <f>8*0.11*1</f>
        <v>0.88</v>
      </c>
      <c r="F493" s="16">
        <v>2013297</v>
      </c>
      <c r="G493" s="17">
        <v>0.3</v>
      </c>
      <c r="H493" s="18">
        <f t="shared" si="59"/>
        <v>532000</v>
      </c>
      <c r="I493" s="227">
        <f t="shared" si="55"/>
        <v>532000</v>
      </c>
      <c r="J493" s="174"/>
      <c r="K493" s="153"/>
      <c r="L493" s="153"/>
      <c r="M493" s="153"/>
      <c r="N493" s="153"/>
      <c r="O493" s="153"/>
      <c r="P493" s="153"/>
      <c r="Q493" s="181"/>
      <c r="R493" s="181"/>
      <c r="S493" s="160"/>
      <c r="T493" s="160"/>
      <c r="U493" s="160"/>
    </row>
    <row r="494" spans="1:21" s="10" customFormat="1" ht="39.6" customHeight="1" x14ac:dyDescent="0.25">
      <c r="A494" s="102">
        <v>4</v>
      </c>
      <c r="B494" s="450" t="s">
        <v>134</v>
      </c>
      <c r="C494" s="451"/>
      <c r="D494" s="451"/>
      <c r="E494" s="451"/>
      <c r="F494" s="452"/>
      <c r="G494" s="106"/>
      <c r="H494" s="104">
        <f>SUM(H495:H499)</f>
        <v>6028000</v>
      </c>
      <c r="I494" s="227">
        <f t="shared" si="55"/>
        <v>0</v>
      </c>
      <c r="J494" s="211"/>
      <c r="K494" s="169"/>
      <c r="L494" s="169"/>
      <c r="M494" s="169"/>
      <c r="N494" s="169"/>
      <c r="O494" s="169"/>
      <c r="P494" s="169"/>
      <c r="Q494" s="212"/>
      <c r="R494" s="212"/>
      <c r="S494" s="170"/>
      <c r="T494" s="170"/>
      <c r="U494" s="170"/>
    </row>
    <row r="495" spans="1:21" s="3" customFormat="1" ht="26.1" customHeight="1" x14ac:dyDescent="0.25">
      <c r="A495" s="31"/>
      <c r="B495" s="34" t="s">
        <v>41</v>
      </c>
      <c r="C495" s="33" t="s">
        <v>284</v>
      </c>
      <c r="D495" s="14" t="s">
        <v>14</v>
      </c>
      <c r="E495" s="15">
        <f>7*0.5*0.3</f>
        <v>1.05</v>
      </c>
      <c r="F495" s="16">
        <v>266100</v>
      </c>
      <c r="G495" s="17">
        <v>1</v>
      </c>
      <c r="H495" s="18">
        <f t="shared" ref="H495:H499" si="60">ROUND(E495*F495*G495,-3)</f>
        <v>279000</v>
      </c>
      <c r="I495" s="227">
        <f t="shared" si="55"/>
        <v>279000</v>
      </c>
      <c r="J495" s="174"/>
      <c r="K495" s="153"/>
      <c r="L495" s="153"/>
      <c r="M495" s="153"/>
      <c r="N495" s="153"/>
      <c r="O495" s="153"/>
      <c r="P495" s="153"/>
      <c r="Q495" s="181"/>
      <c r="R495" s="181"/>
      <c r="S495" s="160"/>
      <c r="T495" s="160"/>
      <c r="U495" s="160"/>
    </row>
    <row r="496" spans="1:21" s="3" customFormat="1" ht="26.1" customHeight="1" x14ac:dyDescent="0.25">
      <c r="A496" s="31"/>
      <c r="B496" s="34" t="s">
        <v>42</v>
      </c>
      <c r="C496" s="33" t="s">
        <v>274</v>
      </c>
      <c r="D496" s="14" t="s">
        <v>14</v>
      </c>
      <c r="E496" s="15">
        <f>E495/3</f>
        <v>0.35000000000000003</v>
      </c>
      <c r="F496" s="16">
        <v>185275</v>
      </c>
      <c r="G496" s="17">
        <v>1</v>
      </c>
      <c r="H496" s="18">
        <f t="shared" si="60"/>
        <v>65000</v>
      </c>
      <c r="I496" s="227">
        <f t="shared" si="55"/>
        <v>65000</v>
      </c>
      <c r="J496" s="174"/>
      <c r="K496" s="153"/>
      <c r="L496" s="153"/>
      <c r="M496" s="153"/>
      <c r="N496" s="153"/>
      <c r="O496" s="153"/>
      <c r="P496" s="153"/>
      <c r="Q496" s="181"/>
      <c r="R496" s="181"/>
      <c r="S496" s="160"/>
      <c r="T496" s="160"/>
      <c r="U496" s="160"/>
    </row>
    <row r="497" spans="1:21" s="3" customFormat="1" ht="29.45" customHeight="1" x14ac:dyDescent="0.25">
      <c r="A497" s="31"/>
      <c r="B497" s="34" t="s">
        <v>49</v>
      </c>
      <c r="C497" s="33" t="s">
        <v>289</v>
      </c>
      <c r="D497" s="14" t="s">
        <v>14</v>
      </c>
      <c r="E497" s="15">
        <f>7*0.33*0.3</f>
        <v>0.69299999999999995</v>
      </c>
      <c r="F497" s="16">
        <v>1952153</v>
      </c>
      <c r="G497" s="17">
        <v>1</v>
      </c>
      <c r="H497" s="18">
        <f t="shared" si="60"/>
        <v>1353000</v>
      </c>
      <c r="I497" s="227">
        <f t="shared" si="55"/>
        <v>1353000</v>
      </c>
      <c r="J497" s="174"/>
      <c r="K497" s="153"/>
      <c r="L497" s="153"/>
      <c r="M497" s="153"/>
      <c r="N497" s="153"/>
      <c r="O497" s="153"/>
      <c r="P497" s="153"/>
      <c r="Q497" s="181"/>
      <c r="R497" s="181"/>
      <c r="S497" s="160"/>
      <c r="T497" s="160"/>
      <c r="U497" s="160"/>
    </row>
    <row r="498" spans="1:21" s="3" customFormat="1" ht="36.6" customHeight="1" x14ac:dyDescent="0.25">
      <c r="A498" s="31"/>
      <c r="B498" s="34" t="s">
        <v>50</v>
      </c>
      <c r="C498" s="33" t="s">
        <v>290</v>
      </c>
      <c r="D498" s="14" t="s">
        <v>14</v>
      </c>
      <c r="E498" s="15">
        <f>7*0.22*0.9</f>
        <v>1.3860000000000001</v>
      </c>
      <c r="F498" s="16">
        <v>2013297</v>
      </c>
      <c r="G498" s="17">
        <v>1</v>
      </c>
      <c r="H498" s="18">
        <f t="shared" si="60"/>
        <v>2790000</v>
      </c>
      <c r="I498" s="227">
        <f t="shared" si="55"/>
        <v>2790000</v>
      </c>
      <c r="J498" s="174"/>
      <c r="K498" s="153"/>
      <c r="L498" s="153"/>
      <c r="M498" s="153"/>
      <c r="N498" s="153"/>
      <c r="O498" s="153"/>
      <c r="P498" s="153"/>
      <c r="Q498" s="181"/>
      <c r="R498" s="181"/>
      <c r="S498" s="160"/>
      <c r="T498" s="160"/>
      <c r="U498" s="160"/>
    </row>
    <row r="499" spans="1:21" s="3" customFormat="1" ht="39.6" customHeight="1" x14ac:dyDescent="0.25">
      <c r="A499" s="31"/>
      <c r="B499" s="34" t="s">
        <v>47</v>
      </c>
      <c r="C499" s="33" t="s">
        <v>286</v>
      </c>
      <c r="D499" s="14" t="s">
        <v>13</v>
      </c>
      <c r="E499" s="15">
        <f>7*0.9*2</f>
        <v>12.6</v>
      </c>
      <c r="F499" s="16">
        <v>122264</v>
      </c>
      <c r="G499" s="17">
        <v>1</v>
      </c>
      <c r="H499" s="18">
        <f t="shared" si="60"/>
        <v>1541000</v>
      </c>
      <c r="I499" s="227">
        <f t="shared" si="55"/>
        <v>1541000</v>
      </c>
      <c r="J499" s="174"/>
      <c r="K499" s="153"/>
      <c r="L499" s="153"/>
      <c r="M499" s="153"/>
      <c r="N499" s="153"/>
      <c r="O499" s="153"/>
      <c r="P499" s="153"/>
      <c r="Q499" s="181"/>
      <c r="R499" s="181"/>
      <c r="S499" s="160"/>
      <c r="T499" s="160"/>
      <c r="U499" s="160"/>
    </row>
    <row r="500" spans="1:21" s="6" customFormat="1" ht="51.6" customHeight="1" x14ac:dyDescent="0.25">
      <c r="A500" s="69">
        <v>5</v>
      </c>
      <c r="B500" s="70" t="s">
        <v>135</v>
      </c>
      <c r="C500" s="71" t="s">
        <v>313</v>
      </c>
      <c r="D500" s="69" t="s">
        <v>13</v>
      </c>
      <c r="E500" s="72">
        <f>8.5*3.25</f>
        <v>27.625</v>
      </c>
      <c r="F500" s="73">
        <v>2354383</v>
      </c>
      <c r="G500" s="110">
        <v>1</v>
      </c>
      <c r="H500" s="29">
        <f>ROUND(E500*F500*G500,-3)</f>
        <v>65040000</v>
      </c>
      <c r="I500" s="227">
        <f t="shared" si="55"/>
        <v>65040000</v>
      </c>
      <c r="J500" s="202"/>
      <c r="K500" s="202"/>
      <c r="L500" s="202"/>
      <c r="M500" s="202"/>
      <c r="N500" s="202"/>
      <c r="O500" s="203"/>
      <c r="P500" s="204"/>
      <c r="Q500" s="163"/>
      <c r="R500" s="163"/>
      <c r="S500" s="164"/>
      <c r="T500" s="164"/>
      <c r="U500" s="164"/>
    </row>
    <row r="501" spans="1:21" s="10" customFormat="1" ht="25.9" customHeight="1" x14ac:dyDescent="0.25">
      <c r="A501" s="45">
        <v>6</v>
      </c>
      <c r="B501" s="46" t="s">
        <v>136</v>
      </c>
      <c r="C501" s="33" t="s">
        <v>298</v>
      </c>
      <c r="D501" s="14" t="s">
        <v>13</v>
      </c>
      <c r="E501" s="15">
        <f>7*2.25</f>
        <v>15.75</v>
      </c>
      <c r="F501" s="16">
        <v>315499</v>
      </c>
      <c r="G501" s="17">
        <v>1</v>
      </c>
      <c r="H501" s="18">
        <f t="shared" ref="H501" si="61">ROUND(E501*F501*G501,-3)</f>
        <v>4969000</v>
      </c>
      <c r="I501" s="227">
        <f t="shared" si="55"/>
        <v>4969000</v>
      </c>
      <c r="J501" s="211"/>
      <c r="K501" s="169"/>
      <c r="L501" s="169"/>
      <c r="M501" s="169"/>
      <c r="N501" s="169"/>
      <c r="O501" s="169"/>
      <c r="P501" s="169"/>
      <c r="Q501" s="212"/>
      <c r="R501" s="212"/>
      <c r="S501" s="170"/>
      <c r="T501" s="170"/>
      <c r="U501" s="170"/>
    </row>
    <row r="502" spans="1:21" s="10" customFormat="1" ht="39.6" customHeight="1" x14ac:dyDescent="0.25">
      <c r="A502" s="102">
        <v>7</v>
      </c>
      <c r="B502" s="450" t="s">
        <v>137</v>
      </c>
      <c r="C502" s="451"/>
      <c r="D502" s="451"/>
      <c r="E502" s="451"/>
      <c r="F502" s="452"/>
      <c r="G502" s="106"/>
      <c r="H502" s="104">
        <f>SUM(H503:H507)</f>
        <v>13742000</v>
      </c>
      <c r="I502" s="227">
        <f t="shared" si="55"/>
        <v>0</v>
      </c>
      <c r="J502" s="211"/>
      <c r="K502" s="169"/>
      <c r="L502" s="169"/>
      <c r="M502" s="169"/>
      <c r="N502" s="169"/>
      <c r="O502" s="169"/>
      <c r="P502" s="169"/>
      <c r="Q502" s="212"/>
      <c r="R502" s="212"/>
      <c r="S502" s="170"/>
      <c r="T502" s="170"/>
      <c r="U502" s="170"/>
    </row>
    <row r="503" spans="1:21" s="3" customFormat="1" ht="26.1" customHeight="1" x14ac:dyDescent="0.25">
      <c r="A503" s="31"/>
      <c r="B503" s="34" t="s">
        <v>41</v>
      </c>
      <c r="C503" s="33" t="s">
        <v>284</v>
      </c>
      <c r="D503" s="14" t="s">
        <v>14</v>
      </c>
      <c r="E503" s="15">
        <f>17.1*0.5*0.4</f>
        <v>3.4200000000000004</v>
      </c>
      <c r="F503" s="16">
        <v>266100</v>
      </c>
      <c r="G503" s="17">
        <v>1</v>
      </c>
      <c r="H503" s="18">
        <f t="shared" ref="H503:H507" si="62">ROUND(E503*F503*G503,-3)</f>
        <v>910000</v>
      </c>
      <c r="I503" s="227">
        <f t="shared" si="55"/>
        <v>910000</v>
      </c>
      <c r="J503" s="174"/>
      <c r="K503" s="153"/>
      <c r="L503" s="153"/>
      <c r="M503" s="153"/>
      <c r="N503" s="153"/>
      <c r="O503" s="153"/>
      <c r="P503" s="153"/>
      <c r="Q503" s="181"/>
      <c r="R503" s="181"/>
      <c r="S503" s="160"/>
      <c r="T503" s="160"/>
      <c r="U503" s="160"/>
    </row>
    <row r="504" spans="1:21" s="3" customFormat="1" ht="26.1" customHeight="1" x14ac:dyDescent="0.25">
      <c r="A504" s="31"/>
      <c r="B504" s="34" t="s">
        <v>42</v>
      </c>
      <c r="C504" s="33" t="s">
        <v>274</v>
      </c>
      <c r="D504" s="14" t="s">
        <v>14</v>
      </c>
      <c r="E504" s="15">
        <f>E503/3</f>
        <v>1.1400000000000001</v>
      </c>
      <c r="F504" s="16">
        <v>185275</v>
      </c>
      <c r="G504" s="17">
        <v>1</v>
      </c>
      <c r="H504" s="18">
        <f t="shared" si="62"/>
        <v>211000</v>
      </c>
      <c r="I504" s="227">
        <f t="shared" si="55"/>
        <v>211000</v>
      </c>
      <c r="J504" s="174"/>
      <c r="K504" s="153"/>
      <c r="L504" s="153"/>
      <c r="M504" s="153"/>
      <c r="N504" s="153"/>
      <c r="O504" s="153"/>
      <c r="P504" s="153"/>
      <c r="Q504" s="181"/>
      <c r="R504" s="181"/>
      <c r="S504" s="160"/>
      <c r="T504" s="160"/>
      <c r="U504" s="160"/>
    </row>
    <row r="505" spans="1:21" s="3" customFormat="1" ht="29.45" customHeight="1" x14ac:dyDescent="0.25">
      <c r="A505" s="31"/>
      <c r="B505" s="34" t="s">
        <v>49</v>
      </c>
      <c r="C505" s="33" t="s">
        <v>289</v>
      </c>
      <c r="D505" s="14" t="s">
        <v>14</v>
      </c>
      <c r="E505" s="15">
        <f>17.1*0.33*0.4</f>
        <v>2.2572000000000005</v>
      </c>
      <c r="F505" s="16">
        <v>1952153</v>
      </c>
      <c r="G505" s="17">
        <v>1</v>
      </c>
      <c r="H505" s="18">
        <f t="shared" si="62"/>
        <v>4406000</v>
      </c>
      <c r="I505" s="227">
        <f t="shared" si="55"/>
        <v>4406000</v>
      </c>
      <c r="J505" s="174"/>
      <c r="K505" s="153"/>
      <c r="L505" s="153"/>
      <c r="M505" s="153"/>
      <c r="N505" s="153"/>
      <c r="O505" s="153"/>
      <c r="P505" s="153"/>
      <c r="Q505" s="181"/>
      <c r="R505" s="181"/>
      <c r="S505" s="160"/>
      <c r="T505" s="160"/>
      <c r="U505" s="160"/>
    </row>
    <row r="506" spans="1:21" s="3" customFormat="1" ht="36.6" customHeight="1" x14ac:dyDescent="0.25">
      <c r="A506" s="31"/>
      <c r="B506" s="34" t="s">
        <v>50</v>
      </c>
      <c r="C506" s="33" t="s">
        <v>290</v>
      </c>
      <c r="D506" s="14" t="s">
        <v>14</v>
      </c>
      <c r="E506" s="15">
        <f>17.1*0.22*0.85</f>
        <v>3.1977000000000002</v>
      </c>
      <c r="F506" s="16">
        <v>2013297</v>
      </c>
      <c r="G506" s="17">
        <v>1</v>
      </c>
      <c r="H506" s="18">
        <f t="shared" si="62"/>
        <v>6438000</v>
      </c>
      <c r="I506" s="227">
        <f t="shared" si="55"/>
        <v>6438000</v>
      </c>
      <c r="J506" s="174"/>
      <c r="K506" s="153"/>
      <c r="L506" s="153"/>
      <c r="M506" s="153"/>
      <c r="N506" s="153"/>
      <c r="O506" s="153"/>
      <c r="P506" s="153"/>
      <c r="Q506" s="181"/>
      <c r="R506" s="181"/>
      <c r="S506" s="160"/>
      <c r="T506" s="160"/>
      <c r="U506" s="160"/>
    </row>
    <row r="507" spans="1:21" s="3" customFormat="1" ht="39.6" customHeight="1" x14ac:dyDescent="0.25">
      <c r="A507" s="31"/>
      <c r="B507" s="34" t="s">
        <v>47</v>
      </c>
      <c r="C507" s="33" t="s">
        <v>286</v>
      </c>
      <c r="D507" s="14" t="s">
        <v>13</v>
      </c>
      <c r="E507" s="15">
        <f>17.1*0.85</f>
        <v>14.535</v>
      </c>
      <c r="F507" s="16">
        <v>122264</v>
      </c>
      <c r="G507" s="17">
        <v>1</v>
      </c>
      <c r="H507" s="18">
        <f t="shared" si="62"/>
        <v>1777000</v>
      </c>
      <c r="I507" s="227">
        <f t="shared" si="55"/>
        <v>1777000</v>
      </c>
      <c r="J507" s="174"/>
      <c r="K507" s="153"/>
      <c r="L507" s="153"/>
      <c r="M507" s="153"/>
      <c r="N507" s="153"/>
      <c r="O507" s="153"/>
      <c r="P507" s="153"/>
      <c r="Q507" s="181"/>
      <c r="R507" s="181"/>
      <c r="S507" s="160"/>
      <c r="T507" s="160"/>
      <c r="U507" s="160"/>
    </row>
    <row r="508" spans="1:21" s="10" customFormat="1" ht="39.6" customHeight="1" x14ac:dyDescent="0.25">
      <c r="A508" s="102">
        <v>8</v>
      </c>
      <c r="B508" s="435" t="s">
        <v>138</v>
      </c>
      <c r="C508" s="435"/>
      <c r="D508" s="435"/>
      <c r="E508" s="435"/>
      <c r="F508" s="435"/>
      <c r="G508" s="103"/>
      <c r="H508" s="104">
        <f>SUM(H509:H513)</f>
        <v>2778000</v>
      </c>
      <c r="I508" s="227">
        <f t="shared" si="55"/>
        <v>0</v>
      </c>
      <c r="J508" s="211"/>
      <c r="K508" s="169"/>
      <c r="L508" s="169"/>
      <c r="M508" s="169"/>
      <c r="N508" s="169"/>
      <c r="O508" s="169"/>
      <c r="P508" s="169"/>
      <c r="Q508" s="169"/>
      <c r="R508" s="169"/>
      <c r="S508" s="170"/>
      <c r="T508" s="170"/>
      <c r="U508" s="170"/>
    </row>
    <row r="509" spans="1:21" s="3" customFormat="1" ht="28.5" customHeight="1" x14ac:dyDescent="0.25">
      <c r="A509" s="31"/>
      <c r="B509" s="34" t="s">
        <v>41</v>
      </c>
      <c r="C509" s="33" t="s">
        <v>284</v>
      </c>
      <c r="D509" s="14" t="s">
        <v>14</v>
      </c>
      <c r="E509" s="15">
        <f>(2.1+0.45)*2*0.5*0.3</f>
        <v>0.76500000000000001</v>
      </c>
      <c r="F509" s="16">
        <v>266100</v>
      </c>
      <c r="G509" s="17">
        <v>1</v>
      </c>
      <c r="H509" s="18">
        <f>ROUND(E509*F509*G509,-3)</f>
        <v>204000</v>
      </c>
      <c r="I509" s="227">
        <f t="shared" si="55"/>
        <v>204000</v>
      </c>
      <c r="J509" s="174"/>
      <c r="K509" s="153"/>
      <c r="L509" s="153"/>
      <c r="M509" s="153"/>
      <c r="N509" s="153"/>
      <c r="O509" s="153"/>
      <c r="P509" s="153"/>
      <c r="Q509" s="181"/>
      <c r="R509" s="181"/>
      <c r="S509" s="160"/>
      <c r="T509" s="160"/>
      <c r="U509" s="160"/>
    </row>
    <row r="510" spans="1:21" s="3" customFormat="1" ht="33" customHeight="1" x14ac:dyDescent="0.25">
      <c r="A510" s="31"/>
      <c r="B510" s="34" t="s">
        <v>42</v>
      </c>
      <c r="C510" s="33" t="s">
        <v>274</v>
      </c>
      <c r="D510" s="14" t="s">
        <v>14</v>
      </c>
      <c r="E510" s="15">
        <f>E509/3</f>
        <v>0.255</v>
      </c>
      <c r="F510" s="16">
        <v>185275</v>
      </c>
      <c r="G510" s="17">
        <v>1</v>
      </c>
      <c r="H510" s="18">
        <f>ROUND(E510*F510*G510,-3)</f>
        <v>47000</v>
      </c>
      <c r="I510" s="227">
        <f t="shared" si="55"/>
        <v>47000</v>
      </c>
      <c r="J510" s="174"/>
      <c r="K510" s="153"/>
      <c r="L510" s="153"/>
      <c r="M510" s="153"/>
      <c r="N510" s="153"/>
      <c r="O510" s="153"/>
      <c r="P510" s="153"/>
      <c r="Q510" s="181"/>
      <c r="R510" s="181"/>
      <c r="S510" s="160"/>
      <c r="T510" s="160"/>
      <c r="U510" s="160"/>
    </row>
    <row r="511" spans="1:21" s="3" customFormat="1" ht="33.75" customHeight="1" x14ac:dyDescent="0.25">
      <c r="A511" s="31"/>
      <c r="B511" s="34" t="s">
        <v>49</v>
      </c>
      <c r="C511" s="33" t="s">
        <v>289</v>
      </c>
      <c r="D511" s="14" t="s">
        <v>14</v>
      </c>
      <c r="E511" s="15">
        <f>(1.7+0.15)*2*0.22*0.3</f>
        <v>0.24419999999999997</v>
      </c>
      <c r="F511" s="16">
        <v>1952153</v>
      </c>
      <c r="G511" s="17">
        <v>1</v>
      </c>
      <c r="H511" s="18">
        <f>ROUND(E511*F511*G511,-3)</f>
        <v>477000</v>
      </c>
      <c r="I511" s="227">
        <f t="shared" si="55"/>
        <v>477000</v>
      </c>
      <c r="J511" s="174"/>
      <c r="K511" s="153"/>
      <c r="L511" s="153"/>
      <c r="M511" s="153"/>
      <c r="N511" s="153"/>
      <c r="O511" s="153"/>
      <c r="P511" s="153"/>
      <c r="Q511" s="181"/>
      <c r="R511" s="181"/>
      <c r="S511" s="160"/>
      <c r="T511" s="160"/>
      <c r="U511" s="160"/>
    </row>
    <row r="512" spans="1:21" s="3" customFormat="1" ht="39.6" customHeight="1" x14ac:dyDescent="0.25">
      <c r="A512" s="31"/>
      <c r="B512" s="34" t="s">
        <v>50</v>
      </c>
      <c r="C512" s="33" t="s">
        <v>290</v>
      </c>
      <c r="D512" s="14" t="s">
        <v>14</v>
      </c>
      <c r="E512" s="15">
        <f>(1.7+0.15)*2*0.22*1.2</f>
        <v>0.97679999999999989</v>
      </c>
      <c r="F512" s="16">
        <v>2013297</v>
      </c>
      <c r="G512" s="17">
        <v>1</v>
      </c>
      <c r="H512" s="18">
        <f>ROUND(E512*F512*G512,-3)</f>
        <v>1967000</v>
      </c>
      <c r="I512" s="227">
        <f t="shared" si="55"/>
        <v>1967000</v>
      </c>
      <c r="J512" s="174"/>
      <c r="K512" s="153"/>
      <c r="L512" s="153"/>
      <c r="M512" s="153"/>
      <c r="N512" s="153"/>
      <c r="O512" s="153"/>
      <c r="P512" s="153"/>
      <c r="Q512" s="181"/>
      <c r="R512" s="181"/>
      <c r="S512" s="160"/>
      <c r="T512" s="160"/>
      <c r="U512" s="160"/>
    </row>
    <row r="513" spans="1:60" s="3" customFormat="1" ht="26.1" customHeight="1" x14ac:dyDescent="0.25">
      <c r="A513" s="31"/>
      <c r="B513" s="34" t="s">
        <v>122</v>
      </c>
      <c r="C513" s="33" t="s">
        <v>339</v>
      </c>
      <c r="D513" s="14" t="s">
        <v>13</v>
      </c>
      <c r="E513" s="15">
        <f>2.1*0.45</f>
        <v>0.94500000000000006</v>
      </c>
      <c r="F513" s="16">
        <v>87739</v>
      </c>
      <c r="G513" s="17">
        <v>1</v>
      </c>
      <c r="H513" s="18">
        <f t="shared" ref="H513" si="63">ROUND(E513*F513*G513,-3)</f>
        <v>83000</v>
      </c>
      <c r="I513" s="227">
        <f t="shared" si="55"/>
        <v>83000</v>
      </c>
      <c r="J513" s="174"/>
      <c r="K513" s="153"/>
      <c r="L513" s="153"/>
      <c r="M513" s="153"/>
      <c r="N513" s="153"/>
      <c r="O513" s="153"/>
      <c r="P513" s="153"/>
      <c r="Q513" s="181"/>
      <c r="R513" s="181"/>
      <c r="S513" s="160"/>
      <c r="T513" s="160"/>
      <c r="U513" s="160"/>
    </row>
    <row r="514" spans="1:60" s="3" customFormat="1" ht="57.75" customHeight="1" x14ac:dyDescent="0.25">
      <c r="A514" s="81" t="s">
        <v>236</v>
      </c>
      <c r="B514" s="148" t="s">
        <v>400</v>
      </c>
      <c r="C514" s="149"/>
      <c r="D514" s="40" t="s">
        <v>237</v>
      </c>
      <c r="E514" s="118">
        <v>1</v>
      </c>
      <c r="F514" s="126">
        <v>30000000</v>
      </c>
      <c r="G514" s="150">
        <v>1</v>
      </c>
      <c r="H514" s="82">
        <f>F514</f>
        <v>30000000</v>
      </c>
      <c r="I514" s="227">
        <f t="shared" si="55"/>
        <v>30000000</v>
      </c>
      <c r="J514" s="174"/>
      <c r="K514" s="153"/>
      <c r="L514" s="153"/>
      <c r="M514" s="153"/>
      <c r="N514" s="153"/>
      <c r="O514" s="153"/>
      <c r="P514" s="153"/>
      <c r="Q514" s="181"/>
      <c r="R514" s="181"/>
      <c r="S514" s="153">
        <f>H514</f>
        <v>30000000</v>
      </c>
      <c r="T514" s="160"/>
      <c r="U514" s="160"/>
    </row>
    <row r="515" spans="1:60" s="3" customFormat="1" ht="51.75" customHeight="1" x14ac:dyDescent="0.25">
      <c r="A515" s="81" t="s">
        <v>238</v>
      </c>
      <c r="B515" s="148" t="s">
        <v>402</v>
      </c>
      <c r="C515" s="149"/>
      <c r="D515" s="40" t="s">
        <v>13</v>
      </c>
      <c r="E515" s="118">
        <v>119.7</v>
      </c>
      <c r="F515" s="126">
        <v>30000</v>
      </c>
      <c r="G515" s="150">
        <v>1</v>
      </c>
      <c r="H515" s="82">
        <f>E515*F515</f>
        <v>3591000</v>
      </c>
      <c r="I515" s="227">
        <f t="shared" si="55"/>
        <v>3591000</v>
      </c>
      <c r="J515" s="174"/>
      <c r="K515" s="153"/>
      <c r="L515" s="153"/>
      <c r="M515" s="153"/>
      <c r="N515" s="153"/>
      <c r="O515" s="153"/>
      <c r="P515" s="153"/>
      <c r="Q515" s="181"/>
      <c r="R515" s="181"/>
      <c r="S515" s="153">
        <f>I515</f>
        <v>3591000</v>
      </c>
      <c r="T515" s="160"/>
      <c r="U515" s="160"/>
    </row>
    <row r="516" spans="1:60" s="4" customFormat="1" ht="34.15" customHeight="1" x14ac:dyDescent="0.25">
      <c r="A516" s="81" t="s">
        <v>414</v>
      </c>
      <c r="B516" s="440" t="s">
        <v>417</v>
      </c>
      <c r="C516" s="440"/>
      <c r="D516" s="440"/>
      <c r="E516" s="440"/>
      <c r="F516" s="440"/>
      <c r="G516" s="440"/>
      <c r="H516" s="82">
        <f>H517</f>
        <v>20000000</v>
      </c>
      <c r="I516" s="227">
        <f t="shared" si="55"/>
        <v>0</v>
      </c>
      <c r="J516" s="174">
        <f>H516-I516</f>
        <v>20000000</v>
      </c>
      <c r="K516" s="153"/>
      <c r="L516" s="153"/>
      <c r="M516" s="153"/>
      <c r="N516" s="153"/>
      <c r="O516" s="153"/>
      <c r="P516" s="153"/>
      <c r="Q516" s="188"/>
      <c r="R516" s="188"/>
      <c r="S516" s="155"/>
      <c r="T516" s="155"/>
      <c r="U516" s="155"/>
    </row>
    <row r="517" spans="1:60" s="3" customFormat="1" ht="66" customHeight="1" x14ac:dyDescent="0.25">
      <c r="A517" s="81" t="s">
        <v>11</v>
      </c>
      <c r="B517" s="148" t="s">
        <v>415</v>
      </c>
      <c r="C517" s="149"/>
      <c r="D517" s="40" t="s">
        <v>416</v>
      </c>
      <c r="E517" s="118">
        <v>1</v>
      </c>
      <c r="F517" s="126">
        <v>20000000</v>
      </c>
      <c r="G517" s="150">
        <v>1</v>
      </c>
      <c r="H517" s="82">
        <f>F517</f>
        <v>20000000</v>
      </c>
      <c r="I517" s="227">
        <f t="shared" si="55"/>
        <v>20000000</v>
      </c>
      <c r="J517" s="174"/>
      <c r="K517" s="153"/>
      <c r="L517" s="153"/>
      <c r="M517" s="153"/>
      <c r="N517" s="153"/>
      <c r="O517" s="153"/>
      <c r="P517" s="153"/>
      <c r="Q517" s="181"/>
      <c r="R517" s="181">
        <f>H517</f>
        <v>20000000</v>
      </c>
      <c r="S517" s="153"/>
      <c r="T517" s="160"/>
      <c r="U517" s="160"/>
    </row>
    <row r="518" spans="1:60" s="20" customFormat="1" ht="26.1" customHeight="1" x14ac:dyDescent="0.25">
      <c r="A518" s="466" t="s">
        <v>10</v>
      </c>
      <c r="B518" s="467"/>
      <c r="C518" s="467"/>
      <c r="D518" s="467"/>
      <c r="E518" s="467"/>
      <c r="F518" s="467"/>
      <c r="G518" s="468"/>
      <c r="H518" s="120">
        <f>H162+H229+H275+H300+H393+H405+H449+H6+H516</f>
        <v>4674940000</v>
      </c>
      <c r="I518" s="228">
        <f>SUM(I6:I517)</f>
        <v>4674940000</v>
      </c>
      <c r="J518" s="182"/>
      <c r="K518" s="182">
        <f>SUM(K7:K515)</f>
        <v>2822643000</v>
      </c>
      <c r="L518" s="182">
        <f t="shared" ref="L518:Q518" si="64">SUM(L7:L515)</f>
        <v>161333000</v>
      </c>
      <c r="M518" s="182">
        <f t="shared" si="64"/>
        <v>105444000</v>
      </c>
      <c r="N518" s="182">
        <f t="shared" si="64"/>
        <v>34680000</v>
      </c>
      <c r="O518" s="182">
        <f t="shared" si="64"/>
        <v>38172000</v>
      </c>
      <c r="P518" s="182">
        <f t="shared" si="64"/>
        <v>1274826000</v>
      </c>
      <c r="Q518" s="182">
        <f t="shared" si="64"/>
        <v>69000000</v>
      </c>
      <c r="R518" s="182">
        <f>SUM(R7:R517)</f>
        <v>20000000</v>
      </c>
      <c r="S518" s="182">
        <f>SUM(S7:S515)</f>
        <v>148842000</v>
      </c>
      <c r="T518" s="224"/>
      <c r="U518" s="224"/>
    </row>
    <row r="519" spans="1:60" s="3" customFormat="1" ht="18.75" customHeight="1" x14ac:dyDescent="0.25">
      <c r="A519" s="121"/>
      <c r="B519" s="122" t="s">
        <v>253</v>
      </c>
      <c r="C519" s="123"/>
      <c r="D519" s="124"/>
      <c r="E519" s="125"/>
      <c r="F519" s="125"/>
      <c r="G519" s="124"/>
      <c r="H519" s="126">
        <f>ROUND(H518*0.02,-3)</f>
        <v>93499000</v>
      </c>
      <c r="I519" s="229">
        <f>I518*2%</f>
        <v>93498800</v>
      </c>
      <c r="J519" s="183"/>
      <c r="K519" s="184"/>
      <c r="L519" s="184"/>
      <c r="M519" s="184"/>
      <c r="N519" s="184"/>
      <c r="O519" s="184"/>
      <c r="P519" s="184"/>
      <c r="Q519" s="184"/>
      <c r="R519" s="184"/>
      <c r="S519" s="184"/>
      <c r="T519" s="181"/>
      <c r="U519" s="160"/>
    </row>
    <row r="520" spans="1:60" s="3" customFormat="1" ht="18.75" customHeight="1" x14ac:dyDescent="0.25">
      <c r="A520" s="121"/>
      <c r="B520" s="122" t="s">
        <v>254</v>
      </c>
      <c r="C520" s="123"/>
      <c r="D520" s="124"/>
      <c r="E520" s="125"/>
      <c r="F520" s="125"/>
      <c r="G520" s="124"/>
      <c r="H520" s="126">
        <f>ROUND(H518+H519,-3)</f>
        <v>4768439000</v>
      </c>
      <c r="I520" s="229"/>
      <c r="J520" s="183"/>
      <c r="K520" s="184"/>
      <c r="L520" s="184"/>
      <c r="M520" s="184"/>
      <c r="N520" s="184"/>
      <c r="O520" s="184"/>
      <c r="P520" s="184"/>
      <c r="Q520" s="184"/>
      <c r="R520" s="184"/>
      <c r="S520" s="184"/>
      <c r="T520" s="181"/>
      <c r="U520" s="160"/>
    </row>
    <row r="521" spans="1:60" s="21" customFormat="1" ht="26.1" customHeight="1" x14ac:dyDescent="0.25">
      <c r="A521" s="469" t="s">
        <v>17</v>
      </c>
      <c r="B521" s="470"/>
      <c r="C521" s="470"/>
      <c r="D521" s="470"/>
      <c r="E521" s="470"/>
      <c r="F521" s="470"/>
      <c r="G521" s="471"/>
      <c r="H521" s="127"/>
      <c r="I521" s="230"/>
      <c r="J521" s="147"/>
      <c r="K521" s="147"/>
      <c r="L521" s="147"/>
      <c r="M521" s="147"/>
      <c r="N521" s="147"/>
      <c r="O521" s="147"/>
      <c r="P521" s="147"/>
      <c r="Q521" s="147"/>
      <c r="R521" s="147"/>
      <c r="S521" s="147"/>
      <c r="T521" s="147"/>
      <c r="U521" s="147"/>
      <c r="V521" s="74"/>
      <c r="W521" s="74"/>
      <c r="X521" s="74"/>
      <c r="Y521" s="74"/>
      <c r="Z521" s="74"/>
      <c r="AA521" s="74"/>
      <c r="AB521" s="74"/>
      <c r="AC521" s="74"/>
      <c r="AD521" s="74"/>
      <c r="AE521" s="74"/>
      <c r="AF521" s="74"/>
      <c r="AG521" s="74"/>
      <c r="AH521" s="74"/>
      <c r="AI521" s="74"/>
      <c r="AJ521" s="74"/>
      <c r="AK521" s="74"/>
      <c r="AL521" s="74"/>
      <c r="AM521" s="74"/>
      <c r="AN521" s="74"/>
      <c r="AO521" s="74"/>
      <c r="AP521" s="74"/>
      <c r="AQ521" s="74"/>
      <c r="AR521" s="74"/>
      <c r="AS521" s="74"/>
      <c r="AT521" s="74"/>
      <c r="AU521" s="74"/>
      <c r="AV521" s="74"/>
      <c r="AW521" s="74"/>
      <c r="AX521" s="74"/>
      <c r="AY521" s="74"/>
      <c r="AZ521" s="74"/>
      <c r="BA521" s="74"/>
      <c r="BB521" s="74"/>
      <c r="BC521" s="74"/>
      <c r="BD521" s="74"/>
      <c r="BE521" s="74"/>
      <c r="BF521" s="74"/>
      <c r="BG521" s="74"/>
      <c r="BH521" s="74"/>
    </row>
    <row r="522" spans="1:60" s="21" customFormat="1" ht="26.1" customHeight="1" x14ac:dyDescent="0.25">
      <c r="A522" s="463" t="s">
        <v>252</v>
      </c>
      <c r="B522" s="464"/>
      <c r="C522" s="464"/>
      <c r="D522" s="464"/>
      <c r="E522" s="464"/>
      <c r="F522" s="464"/>
      <c r="G522" s="465"/>
      <c r="H522" s="128">
        <f>K518</f>
        <v>2822643000</v>
      </c>
      <c r="I522" s="231"/>
      <c r="J522" s="147"/>
      <c r="K522" s="147"/>
      <c r="L522" s="147"/>
      <c r="M522" s="147"/>
      <c r="N522" s="147"/>
      <c r="O522" s="147"/>
      <c r="P522" s="147"/>
      <c r="Q522" s="147"/>
      <c r="R522" s="147"/>
      <c r="S522" s="147"/>
      <c r="T522" s="147"/>
      <c r="U522" s="147"/>
      <c r="V522" s="74"/>
      <c r="W522" s="74"/>
      <c r="X522" s="74"/>
      <c r="Y522" s="74"/>
      <c r="Z522" s="74"/>
      <c r="AA522" s="74"/>
      <c r="AB522" s="74"/>
      <c r="AC522" s="74"/>
      <c r="AD522" s="74"/>
      <c r="AE522" s="74"/>
      <c r="AF522" s="74"/>
      <c r="AG522" s="74"/>
      <c r="AH522" s="74"/>
      <c r="AI522" s="74"/>
      <c r="AJ522" s="74"/>
      <c r="AK522" s="74"/>
      <c r="AL522" s="74"/>
      <c r="AM522" s="74"/>
      <c r="AN522" s="74"/>
      <c r="AO522" s="74"/>
      <c r="AP522" s="74"/>
      <c r="AQ522" s="74"/>
      <c r="AR522" s="74"/>
      <c r="AS522" s="74"/>
      <c r="AT522" s="74"/>
      <c r="AU522" s="74"/>
      <c r="AV522" s="74"/>
      <c r="AW522" s="74"/>
      <c r="AX522" s="74"/>
      <c r="AY522" s="74"/>
      <c r="AZ522" s="74"/>
      <c r="BA522" s="74"/>
      <c r="BB522" s="74"/>
      <c r="BC522" s="74"/>
      <c r="BD522" s="74"/>
      <c r="BE522" s="74"/>
      <c r="BF522" s="74"/>
      <c r="BG522" s="74"/>
      <c r="BH522" s="74"/>
    </row>
    <row r="523" spans="1:60" s="21" customFormat="1" ht="26.1" customHeight="1" x14ac:dyDescent="0.25">
      <c r="A523" s="463" t="s">
        <v>247</v>
      </c>
      <c r="B523" s="464"/>
      <c r="C523" s="464"/>
      <c r="D523" s="464"/>
      <c r="E523" s="464"/>
      <c r="F523" s="464"/>
      <c r="G523" s="465"/>
      <c r="H523" s="128">
        <f>L518</f>
        <v>161333000</v>
      </c>
      <c r="I523" s="231"/>
      <c r="J523" s="147"/>
      <c r="K523" s="147"/>
      <c r="L523" s="147"/>
      <c r="M523" s="147"/>
      <c r="N523" s="147"/>
      <c r="O523" s="147"/>
      <c r="P523" s="147"/>
      <c r="Q523" s="147"/>
      <c r="R523" s="147"/>
      <c r="S523" s="147"/>
      <c r="T523" s="147"/>
      <c r="U523" s="147"/>
      <c r="V523" s="74"/>
      <c r="W523" s="74"/>
      <c r="X523" s="74"/>
      <c r="Y523" s="74"/>
      <c r="Z523" s="74"/>
      <c r="AA523" s="74"/>
      <c r="AB523" s="74"/>
      <c r="AC523" s="74"/>
      <c r="AD523" s="74"/>
      <c r="AE523" s="74"/>
      <c r="AF523" s="74"/>
      <c r="AG523" s="74"/>
      <c r="AH523" s="74"/>
      <c r="AI523" s="74"/>
      <c r="AJ523" s="74"/>
      <c r="AK523" s="74"/>
      <c r="AL523" s="74"/>
      <c r="AM523" s="74"/>
      <c r="AN523" s="74"/>
      <c r="AO523" s="74"/>
      <c r="AP523" s="74"/>
      <c r="AQ523" s="74"/>
      <c r="AR523" s="74"/>
      <c r="AS523" s="74"/>
      <c r="AT523" s="74"/>
      <c r="AU523" s="74"/>
      <c r="AV523" s="74"/>
      <c r="AW523" s="74"/>
      <c r="AX523" s="74"/>
      <c r="AY523" s="74"/>
      <c r="AZ523" s="74"/>
      <c r="BA523" s="74"/>
      <c r="BB523" s="74"/>
      <c r="BC523" s="74"/>
      <c r="BD523" s="74"/>
      <c r="BE523" s="74"/>
      <c r="BF523" s="74"/>
      <c r="BG523" s="74"/>
      <c r="BH523" s="74"/>
    </row>
    <row r="524" spans="1:60" s="21" customFormat="1" ht="26.1" customHeight="1" x14ac:dyDescent="0.25">
      <c r="A524" s="463" t="s">
        <v>419</v>
      </c>
      <c r="B524" s="464"/>
      <c r="C524" s="464"/>
      <c r="D524" s="464"/>
      <c r="E524" s="464"/>
      <c r="F524" s="464"/>
      <c r="G524" s="465"/>
      <c r="H524" s="128">
        <f>N518</f>
        <v>34680000</v>
      </c>
      <c r="I524" s="231"/>
      <c r="J524" s="147"/>
      <c r="K524" s="147"/>
      <c r="L524" s="147"/>
      <c r="M524" s="147"/>
      <c r="N524" s="147"/>
      <c r="O524" s="147"/>
      <c r="P524" s="147"/>
      <c r="Q524" s="147"/>
      <c r="R524" s="147"/>
      <c r="S524" s="147"/>
      <c r="T524" s="147"/>
      <c r="U524" s="147"/>
      <c r="V524" s="74"/>
      <c r="W524" s="74"/>
      <c r="X524" s="74"/>
      <c r="Y524" s="74"/>
      <c r="Z524" s="74"/>
      <c r="AA524" s="74"/>
      <c r="AB524" s="74"/>
      <c r="AC524" s="74"/>
      <c r="AD524" s="74"/>
      <c r="AE524" s="74"/>
      <c r="AF524" s="74"/>
      <c r="AG524" s="74"/>
      <c r="AH524" s="74"/>
      <c r="AI524" s="74"/>
      <c r="AJ524" s="74"/>
      <c r="AK524" s="74"/>
      <c r="AL524" s="74"/>
      <c r="AM524" s="74"/>
      <c r="AN524" s="74"/>
      <c r="AO524" s="74"/>
      <c r="AP524" s="74"/>
      <c r="AQ524" s="74"/>
      <c r="AR524" s="74"/>
      <c r="AS524" s="74"/>
      <c r="AT524" s="74"/>
      <c r="AU524" s="74"/>
      <c r="AV524" s="74"/>
      <c r="AW524" s="74"/>
      <c r="AX524" s="74"/>
      <c r="AY524" s="74"/>
      <c r="AZ524" s="74"/>
      <c r="BA524" s="74"/>
      <c r="BB524" s="74"/>
      <c r="BC524" s="74"/>
      <c r="BD524" s="74"/>
      <c r="BE524" s="74"/>
      <c r="BF524" s="74"/>
      <c r="BG524" s="74"/>
      <c r="BH524" s="74"/>
    </row>
    <row r="525" spans="1:60" s="21" customFormat="1" ht="26.1" customHeight="1" x14ac:dyDescent="0.25">
      <c r="A525" s="463" t="s">
        <v>258</v>
      </c>
      <c r="B525" s="464"/>
      <c r="C525" s="464"/>
      <c r="D525" s="464"/>
      <c r="E525" s="464"/>
      <c r="F525" s="464"/>
      <c r="G525" s="465"/>
      <c r="H525" s="128">
        <f>M518</f>
        <v>105444000</v>
      </c>
      <c r="I525" s="231"/>
      <c r="J525" s="147"/>
      <c r="K525" s="147"/>
      <c r="L525" s="147"/>
      <c r="M525" s="147"/>
      <c r="N525" s="147"/>
      <c r="O525" s="147"/>
      <c r="P525" s="147"/>
      <c r="Q525" s="147"/>
      <c r="R525" s="147"/>
      <c r="S525" s="147"/>
      <c r="T525" s="147"/>
      <c r="U525" s="147"/>
      <c r="V525" s="74"/>
      <c r="W525" s="74"/>
      <c r="X525" s="74"/>
      <c r="Y525" s="74"/>
      <c r="Z525" s="74"/>
      <c r="AA525" s="74"/>
      <c r="AB525" s="74"/>
      <c r="AC525" s="74"/>
      <c r="AD525" s="74"/>
      <c r="AE525" s="74"/>
      <c r="AF525" s="74"/>
      <c r="AG525" s="74"/>
      <c r="AH525" s="74"/>
      <c r="AI525" s="74"/>
      <c r="AJ525" s="74"/>
      <c r="AK525" s="74"/>
      <c r="AL525" s="74"/>
      <c r="AM525" s="74"/>
      <c r="AN525" s="74"/>
      <c r="AO525" s="74"/>
      <c r="AP525" s="74"/>
      <c r="AQ525" s="74"/>
      <c r="AR525" s="74"/>
      <c r="AS525" s="74"/>
      <c r="AT525" s="74"/>
      <c r="AU525" s="74"/>
      <c r="AV525" s="74"/>
      <c r="AW525" s="74"/>
      <c r="AX525" s="74"/>
      <c r="AY525" s="74"/>
      <c r="AZ525" s="74"/>
      <c r="BA525" s="74"/>
      <c r="BB525" s="74"/>
      <c r="BC525" s="74"/>
      <c r="BD525" s="74"/>
      <c r="BE525" s="74"/>
      <c r="BF525" s="74"/>
      <c r="BG525" s="74"/>
      <c r="BH525" s="74"/>
    </row>
    <row r="526" spans="1:60" s="21" customFormat="1" ht="26.1" customHeight="1" x14ac:dyDescent="0.25">
      <c r="A526" s="463" t="s">
        <v>248</v>
      </c>
      <c r="B526" s="464"/>
      <c r="C526" s="464"/>
      <c r="D526" s="464"/>
      <c r="E526" s="464"/>
      <c r="F526" s="464"/>
      <c r="G526" s="465"/>
      <c r="H526" s="128">
        <f>O518</f>
        <v>38172000</v>
      </c>
      <c r="I526" s="231"/>
      <c r="J526" s="147"/>
      <c r="K526" s="147"/>
      <c r="L526" s="147"/>
      <c r="M526" s="147"/>
      <c r="N526" s="147"/>
      <c r="O526" s="147"/>
      <c r="P526" s="147"/>
      <c r="Q526" s="147"/>
      <c r="R526" s="147"/>
      <c r="S526" s="147"/>
      <c r="T526" s="147"/>
      <c r="U526" s="147"/>
      <c r="V526" s="74"/>
      <c r="W526" s="74"/>
      <c r="X526" s="74"/>
      <c r="Y526" s="74"/>
      <c r="Z526" s="74"/>
      <c r="AA526" s="74"/>
      <c r="AB526" s="74"/>
      <c r="AC526" s="74"/>
      <c r="AD526" s="74"/>
      <c r="AE526" s="74"/>
      <c r="AF526" s="74"/>
      <c r="AG526" s="74"/>
      <c r="AH526" s="74"/>
      <c r="AI526" s="74"/>
      <c r="AJ526" s="74"/>
      <c r="AK526" s="74"/>
      <c r="AL526" s="74"/>
      <c r="AM526" s="74"/>
      <c r="AN526" s="74"/>
      <c r="AO526" s="74"/>
      <c r="AP526" s="74"/>
      <c r="AQ526" s="74"/>
      <c r="AR526" s="74"/>
      <c r="AS526" s="74"/>
      <c r="AT526" s="74"/>
      <c r="AU526" s="74"/>
      <c r="AV526" s="74"/>
      <c r="AW526" s="74"/>
      <c r="AX526" s="74"/>
      <c r="AY526" s="74"/>
      <c r="AZ526" s="74"/>
      <c r="BA526" s="74"/>
      <c r="BB526" s="74"/>
      <c r="BC526" s="74"/>
      <c r="BD526" s="74"/>
      <c r="BE526" s="74"/>
      <c r="BF526" s="74"/>
      <c r="BG526" s="74"/>
      <c r="BH526" s="74"/>
    </row>
    <row r="527" spans="1:60" s="21" customFormat="1" ht="26.1" customHeight="1" x14ac:dyDescent="0.25">
      <c r="A527" s="463" t="s">
        <v>249</v>
      </c>
      <c r="B527" s="464"/>
      <c r="C527" s="464"/>
      <c r="D527" s="464"/>
      <c r="E527" s="464"/>
      <c r="F527" s="464"/>
      <c r="G527" s="465"/>
      <c r="H527" s="128">
        <f>P518</f>
        <v>1274826000</v>
      </c>
      <c r="I527" s="231"/>
      <c r="J527" s="147"/>
      <c r="K527" s="147"/>
      <c r="L527" s="147"/>
      <c r="M527" s="147"/>
      <c r="N527" s="147"/>
      <c r="O527" s="147"/>
      <c r="P527" s="147"/>
      <c r="Q527" s="147"/>
      <c r="R527" s="147"/>
      <c r="S527" s="147"/>
      <c r="T527" s="147"/>
      <c r="U527" s="147"/>
      <c r="V527" s="74"/>
      <c r="W527" s="74"/>
      <c r="X527" s="74"/>
      <c r="Y527" s="74"/>
      <c r="Z527" s="74"/>
      <c r="AA527" s="74"/>
      <c r="AB527" s="74"/>
      <c r="AC527" s="74"/>
      <c r="AD527" s="74"/>
      <c r="AE527" s="74"/>
      <c r="AF527" s="74"/>
      <c r="AG527" s="74"/>
      <c r="AH527" s="74"/>
      <c r="AI527" s="74"/>
      <c r="AJ527" s="74"/>
      <c r="AK527" s="74"/>
      <c r="AL527" s="74"/>
      <c r="AM527" s="74"/>
      <c r="AN527" s="74"/>
      <c r="AO527" s="74"/>
      <c r="AP527" s="74"/>
      <c r="AQ527" s="74"/>
      <c r="AR527" s="74"/>
      <c r="AS527" s="74"/>
      <c r="AT527" s="74"/>
      <c r="AU527" s="74"/>
      <c r="AV527" s="74"/>
      <c r="AW527" s="74"/>
      <c r="AX527" s="74"/>
      <c r="AY527" s="74"/>
      <c r="AZ527" s="74"/>
      <c r="BA527" s="74"/>
      <c r="BB527" s="74"/>
      <c r="BC527" s="74"/>
      <c r="BD527" s="74"/>
      <c r="BE527" s="74"/>
      <c r="BF527" s="74"/>
      <c r="BG527" s="74"/>
      <c r="BH527" s="74"/>
    </row>
    <row r="528" spans="1:60" s="22" customFormat="1" ht="26.1" customHeight="1" x14ac:dyDescent="0.25">
      <c r="A528" s="463" t="s">
        <v>250</v>
      </c>
      <c r="B528" s="464"/>
      <c r="C528" s="464"/>
      <c r="D528" s="464"/>
      <c r="E528" s="464"/>
      <c r="F528" s="464"/>
      <c r="G528" s="465"/>
      <c r="H528" s="39">
        <f>H159</f>
        <v>15000000</v>
      </c>
      <c r="I528" s="232"/>
      <c r="J528" s="185"/>
      <c r="K528" s="185"/>
      <c r="L528" s="185"/>
      <c r="M528" s="185"/>
      <c r="N528" s="185"/>
      <c r="O528" s="185"/>
      <c r="P528" s="185"/>
      <c r="Q528" s="185"/>
      <c r="R528" s="185"/>
      <c r="S528" s="185"/>
      <c r="T528" s="185"/>
      <c r="U528" s="185"/>
      <c r="V528" s="75"/>
      <c r="W528" s="75"/>
      <c r="X528" s="75"/>
      <c r="Y528" s="75"/>
      <c r="Z528" s="75"/>
      <c r="AA528" s="75"/>
      <c r="AB528" s="75"/>
      <c r="AC528" s="75"/>
      <c r="AD528" s="75"/>
      <c r="AE528" s="75"/>
      <c r="AF528" s="75"/>
      <c r="AG528" s="75"/>
      <c r="AH528" s="75"/>
      <c r="AI528" s="75"/>
      <c r="AJ528" s="75"/>
      <c r="AK528" s="75"/>
      <c r="AL528" s="75"/>
      <c r="AM528" s="75"/>
      <c r="AN528" s="75"/>
      <c r="AO528" s="75"/>
      <c r="AP528" s="75"/>
      <c r="AQ528" s="75"/>
      <c r="AR528" s="75"/>
      <c r="AS528" s="75"/>
      <c r="AT528" s="75"/>
      <c r="AU528" s="75"/>
      <c r="AV528" s="75"/>
      <c r="AW528" s="75"/>
      <c r="AX528" s="75"/>
      <c r="AY528" s="75"/>
      <c r="AZ528" s="75"/>
      <c r="BA528" s="75"/>
      <c r="BB528" s="75"/>
      <c r="BC528" s="75"/>
      <c r="BD528" s="75"/>
      <c r="BE528" s="75"/>
      <c r="BF528" s="75"/>
      <c r="BG528" s="75"/>
      <c r="BH528" s="75"/>
    </row>
    <row r="529" spans="1:60" s="22" customFormat="1" ht="26.1" customHeight="1" x14ac:dyDescent="0.25">
      <c r="A529" s="463" t="s">
        <v>251</v>
      </c>
      <c r="B529" s="464"/>
      <c r="C529" s="464"/>
      <c r="D529" s="464"/>
      <c r="E529" s="464"/>
      <c r="F529" s="464"/>
      <c r="G529" s="465"/>
      <c r="H529" s="39">
        <f>H160</f>
        <v>54000000</v>
      </c>
      <c r="I529" s="232"/>
      <c r="J529" s="185"/>
      <c r="K529" s="185"/>
      <c r="L529" s="185"/>
      <c r="M529" s="185"/>
      <c r="N529" s="185"/>
      <c r="O529" s="185"/>
      <c r="P529" s="185"/>
      <c r="Q529" s="185"/>
      <c r="R529" s="185"/>
      <c r="S529" s="185"/>
      <c r="T529" s="185"/>
      <c r="U529" s="185"/>
      <c r="V529" s="75"/>
      <c r="W529" s="75"/>
      <c r="X529" s="75"/>
      <c r="Y529" s="75"/>
      <c r="Z529" s="75"/>
      <c r="AA529" s="75"/>
      <c r="AB529" s="75"/>
      <c r="AC529" s="75"/>
      <c r="AD529" s="75"/>
      <c r="AE529" s="75"/>
      <c r="AF529" s="75"/>
      <c r="AG529" s="75"/>
      <c r="AH529" s="75"/>
      <c r="AI529" s="75"/>
      <c r="AJ529" s="75"/>
      <c r="AK529" s="75"/>
      <c r="AL529" s="75"/>
      <c r="AM529" s="75"/>
      <c r="AN529" s="75"/>
      <c r="AO529" s="75"/>
      <c r="AP529" s="75"/>
      <c r="AQ529" s="75"/>
      <c r="AR529" s="75"/>
      <c r="AS529" s="75"/>
      <c r="AT529" s="75"/>
      <c r="AU529" s="75"/>
      <c r="AV529" s="75"/>
      <c r="AW529" s="75"/>
      <c r="AX529" s="75"/>
      <c r="AY529" s="75"/>
      <c r="AZ529" s="75"/>
      <c r="BA529" s="75"/>
      <c r="BB529" s="75"/>
      <c r="BC529" s="75"/>
      <c r="BD529" s="75"/>
      <c r="BE529" s="75"/>
      <c r="BF529" s="75"/>
      <c r="BG529" s="75"/>
      <c r="BH529" s="75"/>
    </row>
    <row r="530" spans="1:60" s="22" customFormat="1" ht="26.1" customHeight="1" x14ac:dyDescent="0.25">
      <c r="A530" s="463" t="s">
        <v>420</v>
      </c>
      <c r="B530" s="464"/>
      <c r="C530" s="464"/>
      <c r="D530" s="464"/>
      <c r="E530" s="464"/>
      <c r="F530" s="464"/>
      <c r="G530" s="465"/>
      <c r="H530" s="39">
        <f>R518</f>
        <v>20000000</v>
      </c>
      <c r="I530" s="232"/>
      <c r="J530" s="185"/>
      <c r="K530" s="185"/>
      <c r="L530" s="185"/>
      <c r="M530" s="185"/>
      <c r="N530" s="185"/>
      <c r="O530" s="185"/>
      <c r="P530" s="185"/>
      <c r="Q530" s="185"/>
      <c r="R530" s="185"/>
      <c r="S530" s="185"/>
      <c r="T530" s="185"/>
      <c r="U530" s="185"/>
      <c r="V530" s="75"/>
      <c r="W530" s="75"/>
      <c r="X530" s="75"/>
      <c r="Y530" s="75"/>
      <c r="Z530" s="75"/>
      <c r="AA530" s="75"/>
      <c r="AB530" s="75"/>
      <c r="AC530" s="75"/>
      <c r="AD530" s="75"/>
      <c r="AE530" s="75"/>
      <c r="AF530" s="75"/>
      <c r="AG530" s="75"/>
      <c r="AH530" s="75"/>
      <c r="AI530" s="75"/>
      <c r="AJ530" s="75"/>
      <c r="AK530" s="75"/>
      <c r="AL530" s="75"/>
      <c r="AM530" s="75"/>
      <c r="AN530" s="75"/>
      <c r="AO530" s="75"/>
      <c r="AP530" s="75"/>
      <c r="AQ530" s="75"/>
      <c r="AR530" s="75"/>
      <c r="AS530" s="75"/>
      <c r="AT530" s="75"/>
      <c r="AU530" s="75"/>
      <c r="AV530" s="75"/>
      <c r="AW530" s="75"/>
      <c r="AX530" s="75"/>
      <c r="AY530" s="75"/>
      <c r="AZ530" s="75"/>
      <c r="BA530" s="75"/>
      <c r="BB530" s="75"/>
      <c r="BC530" s="75"/>
      <c r="BD530" s="75"/>
      <c r="BE530" s="75"/>
      <c r="BF530" s="75"/>
      <c r="BG530" s="75"/>
      <c r="BH530" s="75"/>
    </row>
    <row r="531" spans="1:60" s="22" customFormat="1" ht="26.1" customHeight="1" x14ac:dyDescent="0.25">
      <c r="A531" s="463" t="s">
        <v>399</v>
      </c>
      <c r="B531" s="464"/>
      <c r="C531" s="464"/>
      <c r="D531" s="464"/>
      <c r="E531" s="464"/>
      <c r="F531" s="464"/>
      <c r="G531" s="465"/>
      <c r="H531" s="39">
        <f>S518</f>
        <v>148842000</v>
      </c>
      <c r="I531" s="232"/>
      <c r="J531" s="185"/>
      <c r="K531" s="185"/>
      <c r="L531" s="185"/>
      <c r="M531" s="185"/>
      <c r="N531" s="185"/>
      <c r="O531" s="185"/>
      <c r="P531" s="185"/>
      <c r="Q531" s="185"/>
      <c r="R531" s="185"/>
      <c r="S531" s="185"/>
      <c r="T531" s="185"/>
      <c r="U531" s="185"/>
      <c r="V531" s="75"/>
      <c r="W531" s="75"/>
      <c r="X531" s="75"/>
      <c r="Y531" s="75"/>
      <c r="Z531" s="75"/>
      <c r="AA531" s="75"/>
      <c r="AB531" s="75"/>
      <c r="AC531" s="75"/>
      <c r="AD531" s="75"/>
      <c r="AE531" s="75"/>
      <c r="AF531" s="75"/>
      <c r="AG531" s="75"/>
      <c r="AH531" s="75"/>
      <c r="AI531" s="75"/>
      <c r="AJ531" s="75"/>
      <c r="AK531" s="75"/>
      <c r="AL531" s="75"/>
      <c r="AM531" s="75"/>
      <c r="AN531" s="75"/>
      <c r="AO531" s="75"/>
      <c r="AP531" s="75"/>
      <c r="AQ531" s="75"/>
      <c r="AR531" s="75"/>
      <c r="AS531" s="75"/>
      <c r="AT531" s="75"/>
      <c r="AU531" s="75"/>
      <c r="AV531" s="75"/>
      <c r="AW531" s="75"/>
      <c r="AX531" s="75"/>
      <c r="AY531" s="75"/>
      <c r="AZ531" s="75"/>
      <c r="BA531" s="75"/>
      <c r="BB531" s="75"/>
      <c r="BC531" s="75"/>
      <c r="BD531" s="75"/>
      <c r="BE531" s="75"/>
      <c r="BF531" s="75"/>
      <c r="BG531" s="75"/>
      <c r="BH531" s="75"/>
    </row>
    <row r="532" spans="1:60" s="22" customFormat="1" ht="26.1" customHeight="1" x14ac:dyDescent="0.25">
      <c r="A532" s="463" t="s">
        <v>255</v>
      </c>
      <c r="B532" s="464"/>
      <c r="C532" s="464"/>
      <c r="D532" s="464"/>
      <c r="E532" s="464"/>
      <c r="F532" s="464"/>
      <c r="G532" s="465"/>
      <c r="H532" s="39">
        <f>H519</f>
        <v>93499000</v>
      </c>
      <c r="I532" s="232"/>
      <c r="J532" s="185"/>
      <c r="K532" s="185"/>
      <c r="L532" s="185"/>
      <c r="M532" s="185"/>
      <c r="N532" s="185"/>
      <c r="O532" s="185"/>
      <c r="P532" s="185"/>
      <c r="Q532" s="185"/>
      <c r="R532" s="185"/>
      <c r="S532" s="185"/>
      <c r="T532" s="185"/>
      <c r="U532" s="185"/>
      <c r="V532" s="75"/>
      <c r="W532" s="75"/>
      <c r="X532" s="75"/>
      <c r="Y532" s="75"/>
      <c r="Z532" s="75"/>
      <c r="AA532" s="75"/>
      <c r="AB532" s="75"/>
      <c r="AC532" s="75"/>
      <c r="AD532" s="75"/>
      <c r="AE532" s="75"/>
      <c r="AF532" s="75"/>
      <c r="AG532" s="75"/>
      <c r="AH532" s="75"/>
      <c r="AI532" s="75"/>
      <c r="AJ532" s="75"/>
      <c r="AK532" s="75"/>
      <c r="AL532" s="75"/>
      <c r="AM532" s="75"/>
      <c r="AN532" s="75"/>
      <c r="AO532" s="75"/>
      <c r="AP532" s="75"/>
      <c r="AQ532" s="75"/>
      <c r="AR532" s="75"/>
      <c r="AS532" s="75"/>
      <c r="AT532" s="75"/>
      <c r="AU532" s="75"/>
      <c r="AV532" s="75"/>
      <c r="AW532" s="75"/>
      <c r="AX532" s="75"/>
      <c r="AY532" s="75"/>
      <c r="AZ532" s="75"/>
      <c r="BA532" s="75"/>
      <c r="BB532" s="75"/>
      <c r="BC532" s="75"/>
      <c r="BD532" s="75"/>
      <c r="BE532" s="75"/>
      <c r="BF532" s="75"/>
      <c r="BG532" s="75"/>
      <c r="BH532" s="75"/>
    </row>
    <row r="533" spans="1:60" s="75" customFormat="1" ht="19.5" customHeight="1" x14ac:dyDescent="0.25">
      <c r="A533" s="136"/>
      <c r="B533" s="136"/>
      <c r="C533" s="136"/>
      <c r="D533" s="136"/>
      <c r="E533" s="136"/>
      <c r="F533" s="136"/>
      <c r="G533" s="252"/>
      <c r="H533" s="137"/>
      <c r="I533" s="233"/>
      <c r="J533" s="185"/>
      <c r="K533" s="185"/>
      <c r="L533" s="185"/>
      <c r="M533" s="185"/>
      <c r="N533" s="185"/>
      <c r="O533" s="185"/>
      <c r="P533" s="185"/>
      <c r="Q533" s="185"/>
      <c r="R533" s="185"/>
      <c r="S533" s="185"/>
      <c r="T533" s="185"/>
      <c r="U533" s="185"/>
    </row>
    <row r="534" spans="1:60" ht="26.1" customHeight="1" x14ac:dyDescent="0.25">
      <c r="A534" s="472" t="s">
        <v>19</v>
      </c>
      <c r="B534" s="472"/>
      <c r="C534" s="472"/>
      <c r="D534" s="472"/>
      <c r="E534" s="472"/>
      <c r="F534" s="472"/>
      <c r="G534" s="472"/>
      <c r="H534" s="472"/>
    </row>
    <row r="535" spans="1:60" s="5" customFormat="1" ht="30" customHeight="1" x14ac:dyDescent="0.25">
      <c r="A535" s="140"/>
      <c r="B535" s="139"/>
      <c r="C535" s="141"/>
      <c r="D535" s="139"/>
      <c r="E535" s="142"/>
      <c r="F535" s="143"/>
      <c r="G535" s="144"/>
      <c r="H535" s="143"/>
      <c r="I535" s="152"/>
      <c r="J535" s="186"/>
      <c r="K535" s="153"/>
      <c r="L535" s="153"/>
      <c r="M535" s="153"/>
      <c r="N535" s="153"/>
      <c r="O535" s="153"/>
      <c r="P535" s="153"/>
      <c r="Q535" s="187"/>
      <c r="R535" s="187"/>
      <c r="S535" s="186"/>
      <c r="T535" s="186"/>
      <c r="U535" s="186"/>
    </row>
    <row r="536" spans="1:60" s="5" customFormat="1" ht="30" customHeight="1" x14ac:dyDescent="0.25">
      <c r="A536" s="140"/>
      <c r="B536" s="139"/>
      <c r="C536" s="141"/>
      <c r="D536" s="139"/>
      <c r="E536" s="142"/>
      <c r="F536" s="143"/>
      <c r="G536" s="144"/>
      <c r="H536" s="143"/>
      <c r="I536" s="152"/>
      <c r="J536" s="186"/>
      <c r="K536" s="153"/>
      <c r="L536" s="153"/>
      <c r="M536" s="153"/>
      <c r="N536" s="153"/>
      <c r="O536" s="153"/>
      <c r="P536" s="153"/>
      <c r="Q536" s="187"/>
      <c r="R536" s="187"/>
      <c r="S536" s="186"/>
      <c r="T536" s="186"/>
      <c r="U536" s="186"/>
    </row>
    <row r="537" spans="1:60" s="5" customFormat="1" ht="30" customHeight="1" x14ac:dyDescent="0.25">
      <c r="A537" s="140"/>
      <c r="B537" s="145"/>
      <c r="C537" s="141"/>
      <c r="D537" s="146"/>
      <c r="E537" s="142"/>
      <c r="F537" s="143"/>
      <c r="G537" s="144"/>
      <c r="H537" s="143"/>
      <c r="I537" s="152"/>
      <c r="J537" s="186"/>
      <c r="K537" s="153"/>
      <c r="L537" s="153"/>
      <c r="M537" s="153"/>
      <c r="N537" s="153"/>
      <c r="O537" s="153"/>
      <c r="P537" s="153"/>
      <c r="Q537" s="187"/>
      <c r="R537" s="187"/>
      <c r="S537" s="186"/>
      <c r="T537" s="186"/>
      <c r="U537" s="186"/>
    </row>
    <row r="538" spans="1:60" s="5" customFormat="1" ht="16.5" x14ac:dyDescent="0.25">
      <c r="A538" s="472" t="s">
        <v>20</v>
      </c>
      <c r="B538" s="472"/>
      <c r="C538" s="473"/>
      <c r="D538" s="472"/>
      <c r="E538" s="472"/>
      <c r="F538" s="472"/>
      <c r="G538" s="472"/>
      <c r="H538" s="472"/>
      <c r="I538" s="152"/>
      <c r="J538" s="186"/>
      <c r="K538" s="181"/>
      <c r="L538" s="181"/>
      <c r="M538" s="181"/>
      <c r="N538" s="181"/>
      <c r="O538" s="153"/>
      <c r="P538" s="153"/>
      <c r="Q538" s="187"/>
      <c r="R538" s="187"/>
      <c r="S538" s="186"/>
      <c r="T538" s="186"/>
      <c r="U538" s="186"/>
    </row>
    <row r="539" spans="1:60" x14ac:dyDescent="0.25">
      <c r="P539" s="181"/>
    </row>
    <row r="540" spans="1:60" x14ac:dyDescent="0.25">
      <c r="P540" s="181"/>
    </row>
    <row r="542" spans="1:60" x14ac:dyDescent="0.25">
      <c r="O542" s="181"/>
    </row>
    <row r="543" spans="1:60" x14ac:dyDescent="0.25">
      <c r="O543" s="181"/>
      <c r="P543" s="181"/>
      <c r="Q543" s="181"/>
      <c r="R543" s="181"/>
    </row>
    <row r="544" spans="1:60" x14ac:dyDescent="0.25">
      <c r="O544" s="181"/>
      <c r="P544" s="181"/>
      <c r="Q544" s="181"/>
      <c r="R544" s="181"/>
    </row>
    <row r="545" spans="15:18" x14ac:dyDescent="0.25">
      <c r="O545" s="181"/>
      <c r="P545" s="181"/>
      <c r="Q545" s="181"/>
      <c r="R545" s="181"/>
    </row>
  </sheetData>
  <autoFilter ref="A5:XEY546"/>
  <mergeCells count="109">
    <mergeCell ref="A532:G532"/>
    <mergeCell ref="A534:H534"/>
    <mergeCell ref="A538:H538"/>
    <mergeCell ref="A525:G525"/>
    <mergeCell ref="A526:G526"/>
    <mergeCell ref="A527:G527"/>
    <mergeCell ref="A528:G528"/>
    <mergeCell ref="A529:G529"/>
    <mergeCell ref="A531:G531"/>
    <mergeCell ref="A524:G524"/>
    <mergeCell ref="A530:G530"/>
    <mergeCell ref="A518:G518"/>
    <mergeCell ref="A521:G521"/>
    <mergeCell ref="A522:G522"/>
    <mergeCell ref="A523:G523"/>
    <mergeCell ref="B102:F102"/>
    <mergeCell ref="B107:F107"/>
    <mergeCell ref="B124:F124"/>
    <mergeCell ref="B135:F135"/>
    <mergeCell ref="B137:F137"/>
    <mergeCell ref="B142:F142"/>
    <mergeCell ref="B406:F406"/>
    <mergeCell ref="B410:G410"/>
    <mergeCell ref="B416:G416"/>
    <mergeCell ref="B419:F419"/>
    <mergeCell ref="B425:F425"/>
    <mergeCell ref="B431:F431"/>
    <mergeCell ref="B384:F384"/>
    <mergeCell ref="B393:G393"/>
    <mergeCell ref="B394:F394"/>
    <mergeCell ref="B398:G398"/>
    <mergeCell ref="B399:F399"/>
    <mergeCell ref="B405:G405"/>
    <mergeCell ref="B516:G516"/>
    <mergeCell ref="B508:F508"/>
    <mergeCell ref="B6:G6"/>
    <mergeCell ref="B7:F7"/>
    <mergeCell ref="B9:G9"/>
    <mergeCell ref="B10:F10"/>
    <mergeCell ref="B17:F17"/>
    <mergeCell ref="B469:F469"/>
    <mergeCell ref="B476:F476"/>
    <mergeCell ref="B481:F481"/>
    <mergeCell ref="B489:F489"/>
    <mergeCell ref="B494:F494"/>
    <mergeCell ref="B502:F502"/>
    <mergeCell ref="B436:F436"/>
    <mergeCell ref="B441:F441"/>
    <mergeCell ref="B449:G449"/>
    <mergeCell ref="B450:F450"/>
    <mergeCell ref="B455:G455"/>
    <mergeCell ref="B466:G466"/>
    <mergeCell ref="B153:F153"/>
    <mergeCell ref="B156:F156"/>
    <mergeCell ref="B347:F347"/>
    <mergeCell ref="B353:F353"/>
    <mergeCell ref="B358:F358"/>
    <mergeCell ref="B366:F366"/>
    <mergeCell ref="B373:F373"/>
    <mergeCell ref="B377:F377"/>
    <mergeCell ref="B313:G313"/>
    <mergeCell ref="B316:F316"/>
    <mergeCell ref="B317:F317"/>
    <mergeCell ref="B321:F321"/>
    <mergeCell ref="B329:F329"/>
    <mergeCell ref="B337:F337"/>
    <mergeCell ref="B288:G288"/>
    <mergeCell ref="B289:F289"/>
    <mergeCell ref="B296:F296"/>
    <mergeCell ref="B300:G300"/>
    <mergeCell ref="B301:F301"/>
    <mergeCell ref="B303:G303"/>
    <mergeCell ref="B254:F254"/>
    <mergeCell ref="B262:F262"/>
    <mergeCell ref="B267:F267"/>
    <mergeCell ref="B275:G275"/>
    <mergeCell ref="B276:F276"/>
    <mergeCell ref="B280:G280"/>
    <mergeCell ref="B229:G229"/>
    <mergeCell ref="B230:F230"/>
    <mergeCell ref="B237:G237"/>
    <mergeCell ref="B239:G239"/>
    <mergeCell ref="B240:F240"/>
    <mergeCell ref="B247:F247"/>
    <mergeCell ref="B194:F194"/>
    <mergeCell ref="B198:F198"/>
    <mergeCell ref="B203:F203"/>
    <mergeCell ref="B209:F209"/>
    <mergeCell ref="B216:F216"/>
    <mergeCell ref="B222:F222"/>
    <mergeCell ref="B163:F163"/>
    <mergeCell ref="B169:G169"/>
    <mergeCell ref="B172:G172"/>
    <mergeCell ref="B173:F173"/>
    <mergeCell ref="B180:F180"/>
    <mergeCell ref="B187:F187"/>
    <mergeCell ref="A1:B1"/>
    <mergeCell ref="C1:H1"/>
    <mergeCell ref="A2:B2"/>
    <mergeCell ref="C2:H2"/>
    <mergeCell ref="A3:H3"/>
    <mergeCell ref="B162:G162"/>
    <mergeCell ref="B21:G21"/>
    <mergeCell ref="B22:F22"/>
    <mergeCell ref="B24:F24"/>
    <mergeCell ref="B40:F40"/>
    <mergeCell ref="B42:F42"/>
    <mergeCell ref="B51:F51"/>
    <mergeCell ref="A4:H4"/>
  </mergeCells>
  <pageMargins left="0.42" right="0.2" top="0.31" bottom="0.46" header="0.16" footer="0.24"/>
  <pageSetup paperSize="9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4"/>
  <sheetViews>
    <sheetView zoomScale="115" zoomScaleNormal="115" workbookViewId="0">
      <pane xSplit="10" ySplit="7" topLeftCell="K8" activePane="bottomRight" state="frozen"/>
      <selection pane="topRight" activeCell="K1" sqref="K1"/>
      <selection pane="bottomLeft" activeCell="A9" sqref="A9"/>
      <selection pane="bottomRight" activeCell="P14" sqref="P14"/>
    </sheetView>
  </sheetViews>
  <sheetFormatPr defaultColWidth="9.140625" defaultRowHeight="20.25" customHeight="1" x14ac:dyDescent="0.3"/>
  <cols>
    <col min="1" max="1" width="3.7109375" style="375" customWidth="1"/>
    <col min="2" max="2" width="10.28515625" style="376" hidden="1" customWidth="1"/>
    <col min="3" max="3" width="9.7109375" style="375" hidden="1" customWidth="1"/>
    <col min="4" max="4" width="12.140625" style="376" hidden="1" customWidth="1"/>
    <col min="5" max="5" width="10.85546875" style="377" hidden="1" customWidth="1"/>
    <col min="6" max="6" width="10.7109375" style="376" hidden="1" customWidth="1"/>
    <col min="7" max="8" width="2.42578125" style="378" hidden="1" customWidth="1"/>
    <col min="9" max="9" width="16.28515625" style="379" customWidth="1"/>
    <col min="10" max="10" width="1.42578125" style="378" hidden="1" customWidth="1"/>
    <col min="11" max="11" width="6.140625" style="378" customWidth="1"/>
    <col min="12" max="12" width="4.5703125" style="378" customWidth="1"/>
    <col min="13" max="13" width="4.42578125" style="378" customWidth="1"/>
    <col min="14" max="14" width="5.5703125" style="378" customWidth="1"/>
    <col min="15" max="15" width="6.140625" style="380" customWidth="1"/>
    <col min="16" max="16" width="8" style="380" customWidth="1"/>
    <col min="17" max="17" width="10.140625" style="380" customWidth="1"/>
    <col min="18" max="18" width="8.85546875" style="378" customWidth="1"/>
    <col min="19" max="19" width="4.7109375" style="378" hidden="1" customWidth="1"/>
    <col min="20" max="20" width="3.7109375" style="378" hidden="1" customWidth="1"/>
    <col min="21" max="21" width="4.5703125" style="378" hidden="1" customWidth="1"/>
    <col min="22" max="22" width="12.5703125" style="378" hidden="1" customWidth="1"/>
    <col min="23" max="23" width="9.42578125" style="369" customWidth="1"/>
    <col min="24" max="24" width="8.85546875" style="378" customWidth="1"/>
    <col min="25" max="25" width="9.42578125" style="378" customWidth="1"/>
    <col min="26" max="26" width="8.28515625" style="378" customWidth="1"/>
    <col min="27" max="27" width="9.28515625" style="378" customWidth="1"/>
    <col min="28" max="28" width="8.7109375" style="378" customWidth="1"/>
    <col min="29" max="29" width="6.140625" style="378" customWidth="1"/>
    <col min="30" max="30" width="5.85546875" style="378" customWidth="1"/>
    <col min="31" max="31" width="6.140625" style="378" customWidth="1"/>
    <col min="32" max="32" width="8.42578125" style="378" customWidth="1"/>
    <col min="33" max="33" width="9.7109375" style="369" customWidth="1"/>
    <col min="34" max="34" width="13.85546875" style="380" customWidth="1"/>
    <col min="35" max="37" width="13.42578125" style="378" customWidth="1"/>
    <col min="38" max="38" width="18" style="383" customWidth="1"/>
    <col min="39" max="39" width="13.42578125" style="384" customWidth="1"/>
    <col min="40" max="40" width="13.42578125" style="383" customWidth="1"/>
    <col min="41" max="41" width="9.140625" style="385"/>
    <col min="42" max="42" width="21.28515625" style="386" customWidth="1"/>
    <col min="43" max="43" width="13.28515625" style="376" customWidth="1"/>
    <col min="44" max="16384" width="9.140625" style="376"/>
  </cols>
  <sheetData>
    <row r="1" spans="1:58" s="259" customFormat="1" ht="18" customHeight="1" x14ac:dyDescent="0.3">
      <c r="A1" s="480" t="s">
        <v>424</v>
      </c>
      <c r="B1" s="480"/>
      <c r="C1" s="480"/>
      <c r="D1" s="480"/>
      <c r="E1" s="480"/>
      <c r="F1" s="480"/>
      <c r="G1" s="480"/>
      <c r="H1" s="480"/>
      <c r="I1" s="480"/>
      <c r="J1" s="480"/>
      <c r="K1" s="480"/>
      <c r="L1" s="480"/>
      <c r="M1" s="480"/>
      <c r="N1" s="480"/>
      <c r="O1" s="480"/>
      <c r="P1" s="480"/>
      <c r="Q1" s="480"/>
      <c r="R1" s="480"/>
      <c r="S1" s="480"/>
      <c r="T1" s="480"/>
      <c r="U1" s="480"/>
      <c r="V1" s="480"/>
      <c r="W1" s="480"/>
      <c r="X1" s="480"/>
      <c r="Y1" s="480"/>
      <c r="Z1" s="480"/>
      <c r="AA1" s="480"/>
      <c r="AB1" s="480"/>
      <c r="AC1" s="480"/>
      <c r="AD1" s="480"/>
      <c r="AE1" s="480"/>
      <c r="AF1" s="480"/>
      <c r="AG1" s="480"/>
      <c r="AH1" s="480"/>
      <c r="AI1" s="480"/>
      <c r="AJ1" s="253"/>
      <c r="AK1" s="253"/>
      <c r="AL1" s="254"/>
      <c r="AM1" s="253"/>
      <c r="AN1" s="254"/>
      <c r="AO1" s="255"/>
      <c r="AP1" s="256"/>
      <c r="AQ1" s="257"/>
      <c r="AR1" s="257"/>
      <c r="AS1" s="257"/>
      <c r="AT1" s="257"/>
      <c r="AU1" s="257"/>
      <c r="AV1" s="257"/>
      <c r="AW1" s="258"/>
      <c r="AX1" s="258"/>
      <c r="AY1" s="258"/>
      <c r="AZ1" s="258"/>
      <c r="BA1" s="258"/>
      <c r="BB1" s="258"/>
      <c r="BC1" s="258"/>
      <c r="BD1" s="258"/>
      <c r="BE1" s="258"/>
      <c r="BF1" s="258"/>
    </row>
    <row r="2" spans="1:58" s="259" customFormat="1" ht="16.5" customHeight="1" x14ac:dyDescent="0.25">
      <c r="A2" s="481" t="s">
        <v>425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260"/>
      <c r="AK2" s="260"/>
      <c r="AL2" s="261"/>
      <c r="AM2" s="260"/>
      <c r="AN2" s="261"/>
      <c r="AO2" s="262"/>
      <c r="AP2" s="263"/>
      <c r="AQ2" s="258"/>
      <c r="AR2" s="258"/>
      <c r="AS2" s="258"/>
      <c r="AT2" s="258"/>
      <c r="AU2" s="258"/>
      <c r="AV2" s="258"/>
      <c r="AW2" s="258"/>
      <c r="AX2" s="258"/>
      <c r="AY2" s="258"/>
      <c r="AZ2" s="258"/>
      <c r="BA2" s="258"/>
      <c r="BB2" s="258"/>
      <c r="BC2" s="258"/>
      <c r="BD2" s="258"/>
      <c r="BE2" s="258"/>
      <c r="BF2" s="258"/>
    </row>
    <row r="3" spans="1:58" s="259" customFormat="1" ht="14.25" customHeight="1" x14ac:dyDescent="0.25">
      <c r="A3" s="482" t="s">
        <v>426</v>
      </c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  <c r="M3" s="482"/>
      <c r="N3" s="482"/>
      <c r="O3" s="482"/>
      <c r="P3" s="482"/>
      <c r="Q3" s="482"/>
      <c r="R3" s="482"/>
      <c r="S3" s="482"/>
      <c r="T3" s="482"/>
      <c r="U3" s="482"/>
      <c r="V3" s="482"/>
      <c r="W3" s="482"/>
      <c r="X3" s="482"/>
      <c r="Y3" s="482"/>
      <c r="Z3" s="482"/>
      <c r="AA3" s="482"/>
      <c r="AB3" s="482"/>
      <c r="AC3" s="482"/>
      <c r="AD3" s="482"/>
      <c r="AE3" s="482"/>
      <c r="AF3" s="482"/>
      <c r="AG3" s="482"/>
      <c r="AH3" s="482"/>
      <c r="AI3" s="482"/>
      <c r="AJ3" s="264"/>
      <c r="AK3" s="264"/>
      <c r="AL3" s="265"/>
      <c r="AM3" s="264"/>
      <c r="AN3" s="265"/>
      <c r="AO3" s="262"/>
      <c r="AP3" s="263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</row>
    <row r="4" spans="1:58" s="259" customFormat="1" ht="18" customHeight="1" x14ac:dyDescent="0.3">
      <c r="A4" s="483" t="s">
        <v>427</v>
      </c>
      <c r="B4" s="483"/>
      <c r="C4" s="483"/>
      <c r="D4" s="483"/>
      <c r="E4" s="483"/>
      <c r="F4" s="483"/>
      <c r="G4" s="483"/>
      <c r="H4" s="483"/>
      <c r="I4" s="483"/>
      <c r="J4" s="483"/>
      <c r="K4" s="483"/>
      <c r="L4" s="483"/>
      <c r="M4" s="483"/>
      <c r="N4" s="483"/>
      <c r="O4" s="483"/>
      <c r="P4" s="483"/>
      <c r="Q4" s="483"/>
      <c r="R4" s="483"/>
      <c r="S4" s="483"/>
      <c r="T4" s="483"/>
      <c r="U4" s="483"/>
      <c r="V4" s="483"/>
      <c r="W4" s="483"/>
      <c r="X4" s="483"/>
      <c r="Y4" s="483"/>
      <c r="Z4" s="483"/>
      <c r="AA4" s="483"/>
      <c r="AB4" s="483"/>
      <c r="AC4" s="483"/>
      <c r="AD4" s="483"/>
      <c r="AE4" s="483"/>
      <c r="AF4" s="483"/>
      <c r="AG4" s="483"/>
      <c r="AH4" s="483"/>
      <c r="AI4" s="483"/>
      <c r="AJ4" s="266"/>
      <c r="AK4" s="266"/>
      <c r="AL4" s="267"/>
      <c r="AM4" s="268"/>
      <c r="AN4" s="267"/>
      <c r="AO4" s="262"/>
      <c r="AP4" s="263"/>
      <c r="AQ4" s="258"/>
      <c r="AR4" s="258"/>
      <c r="AS4" s="258"/>
      <c r="AT4" s="258"/>
      <c r="AU4" s="258"/>
      <c r="AV4" s="258"/>
      <c r="AW4" s="258"/>
      <c r="AX4" s="258"/>
      <c r="AY4" s="258"/>
      <c r="AZ4" s="258"/>
      <c r="BA4" s="258"/>
      <c r="BB4" s="258"/>
      <c r="BC4" s="258"/>
      <c r="BD4" s="258"/>
      <c r="BE4" s="258"/>
      <c r="BF4" s="258"/>
    </row>
    <row r="5" spans="1:58" s="259" customFormat="1" ht="14.25" customHeight="1" x14ac:dyDescent="0.3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70"/>
      <c r="P5" s="270"/>
      <c r="Q5" s="269"/>
      <c r="R5" s="269"/>
      <c r="S5" s="269"/>
      <c r="T5" s="269"/>
      <c r="U5" s="269"/>
      <c r="V5" s="269"/>
      <c r="W5" s="271"/>
      <c r="X5" s="269"/>
      <c r="Y5" s="269"/>
      <c r="Z5" s="269"/>
      <c r="AA5" s="269"/>
      <c r="AB5" s="269"/>
      <c r="AC5" s="269"/>
      <c r="AD5" s="269"/>
      <c r="AE5" s="269"/>
      <c r="AF5" s="269"/>
      <c r="AG5" s="484" t="s">
        <v>428</v>
      </c>
      <c r="AH5" s="484"/>
      <c r="AI5" s="272"/>
      <c r="AJ5" s="269"/>
      <c r="AK5" s="269"/>
      <c r="AL5" s="267"/>
      <c r="AM5" s="268"/>
      <c r="AN5" s="267"/>
      <c r="AO5" s="262"/>
      <c r="AP5" s="263"/>
      <c r="AQ5" s="258"/>
      <c r="AR5" s="258"/>
      <c r="AS5" s="258"/>
      <c r="AT5" s="258"/>
      <c r="AU5" s="258"/>
      <c r="AV5" s="258"/>
      <c r="AW5" s="258"/>
      <c r="AX5" s="258"/>
      <c r="AY5" s="258"/>
      <c r="AZ5" s="258"/>
      <c r="BA5" s="258"/>
      <c r="BB5" s="258"/>
      <c r="BC5" s="258"/>
      <c r="BD5" s="258"/>
      <c r="BE5" s="258"/>
      <c r="BF5" s="258"/>
    </row>
    <row r="6" spans="1:58" s="284" customFormat="1" ht="35.25" customHeight="1" x14ac:dyDescent="0.3">
      <c r="A6" s="485" t="s">
        <v>429</v>
      </c>
      <c r="B6" s="273" t="s">
        <v>429</v>
      </c>
      <c r="C6" s="274" t="s">
        <v>430</v>
      </c>
      <c r="D6" s="274" t="s">
        <v>431</v>
      </c>
      <c r="E6" s="275" t="s">
        <v>432</v>
      </c>
      <c r="F6" s="274" t="s">
        <v>433</v>
      </c>
      <c r="G6" s="275" t="s">
        <v>434</v>
      </c>
      <c r="H6" s="485" t="s">
        <v>429</v>
      </c>
      <c r="I6" s="486" t="s">
        <v>435</v>
      </c>
      <c r="J6" s="276"/>
      <c r="K6" s="486" t="s">
        <v>436</v>
      </c>
      <c r="L6" s="486" t="s">
        <v>437</v>
      </c>
      <c r="M6" s="486" t="s">
        <v>438</v>
      </c>
      <c r="N6" s="486" t="s">
        <v>433</v>
      </c>
      <c r="O6" s="486" t="s">
        <v>439</v>
      </c>
      <c r="P6" s="488" t="s">
        <v>440</v>
      </c>
      <c r="Q6" s="485" t="s">
        <v>441</v>
      </c>
      <c r="R6" s="474" t="s">
        <v>442</v>
      </c>
      <c r="S6" s="475"/>
      <c r="T6" s="475"/>
      <c r="U6" s="475"/>
      <c r="V6" s="476"/>
      <c r="W6" s="504" t="s">
        <v>443</v>
      </c>
      <c r="X6" s="488" t="s">
        <v>444</v>
      </c>
      <c r="Y6" s="488" t="s">
        <v>445</v>
      </c>
      <c r="Z6" s="488" t="s">
        <v>446</v>
      </c>
      <c r="AA6" s="488" t="s">
        <v>447</v>
      </c>
      <c r="AB6" s="488" t="s">
        <v>448</v>
      </c>
      <c r="AC6" s="489" t="s">
        <v>449</v>
      </c>
      <c r="AD6" s="490"/>
      <c r="AE6" s="490"/>
      <c r="AF6" s="491"/>
      <c r="AG6" s="492" t="s">
        <v>450</v>
      </c>
      <c r="AH6" s="488" t="s">
        <v>451</v>
      </c>
      <c r="AI6" s="488" t="s">
        <v>452</v>
      </c>
      <c r="AJ6" s="278"/>
      <c r="AK6" s="278"/>
      <c r="AL6" s="279"/>
      <c r="AM6" s="280"/>
      <c r="AN6" s="279"/>
      <c r="AO6" s="281"/>
      <c r="AP6" s="282"/>
      <c r="AQ6" s="283"/>
      <c r="AR6" s="283"/>
      <c r="AS6" s="283"/>
      <c r="AT6" s="283"/>
      <c r="AU6" s="283"/>
      <c r="AV6" s="283"/>
      <c r="AW6" s="283"/>
      <c r="AX6" s="283"/>
      <c r="AY6" s="283"/>
      <c r="AZ6" s="283"/>
      <c r="BA6" s="283"/>
      <c r="BB6" s="283"/>
      <c r="BC6" s="283"/>
      <c r="BD6" s="283"/>
      <c r="BE6" s="283"/>
      <c r="BF6" s="283"/>
    </row>
    <row r="7" spans="1:58" s="291" customFormat="1" ht="100.5" customHeight="1" x14ac:dyDescent="0.2">
      <c r="A7" s="485"/>
      <c r="B7" s="273"/>
      <c r="C7" s="274"/>
      <c r="D7" s="274"/>
      <c r="E7" s="275"/>
      <c r="F7" s="274"/>
      <c r="G7" s="275"/>
      <c r="H7" s="485"/>
      <c r="I7" s="487"/>
      <c r="J7" s="285"/>
      <c r="K7" s="487"/>
      <c r="L7" s="487"/>
      <c r="M7" s="487"/>
      <c r="N7" s="487"/>
      <c r="O7" s="487"/>
      <c r="P7" s="488"/>
      <c r="Q7" s="485"/>
      <c r="R7" s="477"/>
      <c r="S7" s="478"/>
      <c r="T7" s="478"/>
      <c r="U7" s="478"/>
      <c r="V7" s="479"/>
      <c r="W7" s="504"/>
      <c r="X7" s="488"/>
      <c r="Y7" s="488"/>
      <c r="Z7" s="488"/>
      <c r="AA7" s="488"/>
      <c r="AB7" s="488"/>
      <c r="AC7" s="286" t="s">
        <v>453</v>
      </c>
      <c r="AD7" s="287" t="s">
        <v>454</v>
      </c>
      <c r="AE7" s="286" t="s">
        <v>455</v>
      </c>
      <c r="AF7" s="286" t="s">
        <v>456</v>
      </c>
      <c r="AG7" s="493"/>
      <c r="AH7" s="488"/>
      <c r="AI7" s="488"/>
      <c r="AJ7" s="288" t="s">
        <v>457</v>
      </c>
      <c r="AK7" s="288" t="s">
        <v>458</v>
      </c>
      <c r="AL7" s="279"/>
      <c r="AM7" s="280"/>
      <c r="AN7" s="279"/>
      <c r="AO7" s="289"/>
      <c r="AP7" s="289"/>
      <c r="AQ7" s="290"/>
      <c r="AR7" s="290"/>
      <c r="AS7" s="290"/>
      <c r="AT7" s="290"/>
      <c r="AU7" s="290"/>
      <c r="AV7" s="290"/>
      <c r="AW7" s="290"/>
      <c r="AX7" s="290"/>
      <c r="AY7" s="290"/>
      <c r="AZ7" s="290"/>
      <c r="BA7" s="290"/>
      <c r="BB7" s="290"/>
      <c r="BC7" s="290"/>
      <c r="BD7" s="290"/>
      <c r="BE7" s="290"/>
      <c r="BF7" s="290"/>
    </row>
    <row r="8" spans="1:58" s="314" customFormat="1" ht="50.25" customHeight="1" x14ac:dyDescent="0.25">
      <c r="A8" s="292">
        <v>1</v>
      </c>
      <c r="B8" s="293"/>
      <c r="C8" s="293"/>
      <c r="D8" s="294"/>
      <c r="E8" s="295"/>
      <c r="F8" s="294"/>
      <c r="G8" s="296"/>
      <c r="H8" s="292">
        <v>11</v>
      </c>
      <c r="I8" s="297" t="s">
        <v>459</v>
      </c>
      <c r="J8" s="298"/>
      <c r="K8" s="298" t="s">
        <v>460</v>
      </c>
      <c r="L8" s="298">
        <v>31</v>
      </c>
      <c r="M8" s="298">
        <v>14</v>
      </c>
      <c r="N8" s="298" t="s">
        <v>242</v>
      </c>
      <c r="O8" s="299">
        <v>241.3</v>
      </c>
      <c r="P8" s="300">
        <f>10700000*0.7</f>
        <v>7489999.9999999991</v>
      </c>
      <c r="Q8" s="301">
        <f>ROUND(O8*P8,-3)</f>
        <v>1807337000</v>
      </c>
      <c r="R8" s="302"/>
      <c r="S8" s="302"/>
      <c r="T8" s="302"/>
      <c r="U8" s="302"/>
      <c r="V8" s="302"/>
      <c r="W8" s="302"/>
      <c r="X8" s="302">
        <v>11194000</v>
      </c>
      <c r="Y8" s="302">
        <v>818432000</v>
      </c>
      <c r="Z8" s="302">
        <v>15000000</v>
      </c>
      <c r="AA8" s="302"/>
      <c r="AB8" s="302">
        <v>54000000</v>
      </c>
      <c r="AC8" s="303"/>
      <c r="AD8" s="304"/>
      <c r="AE8" s="303"/>
      <c r="AF8" s="302"/>
      <c r="AG8" s="305">
        <v>30000000</v>
      </c>
      <c r="AH8" s="306">
        <f>Q8+R8+W8+X8+Y8+Z8+AA8+AB8+AF8+AG8</f>
        <v>2735963000</v>
      </c>
      <c r="AI8" s="307" t="s">
        <v>461</v>
      </c>
      <c r="AJ8" s="308"/>
      <c r="AK8" s="308"/>
      <c r="AL8" s="309"/>
      <c r="AM8" s="310"/>
      <c r="AN8" s="311"/>
      <c r="AO8" s="312"/>
      <c r="AP8" s="313"/>
    </row>
    <row r="9" spans="1:58" s="327" customFormat="1" ht="26.45" customHeight="1" x14ac:dyDescent="0.3">
      <c r="A9" s="494">
        <v>2</v>
      </c>
      <c r="B9" s="315"/>
      <c r="C9" s="316"/>
      <c r="D9" s="316"/>
      <c r="E9" s="317"/>
      <c r="F9" s="316"/>
      <c r="G9" s="318"/>
      <c r="H9" s="316">
        <v>2</v>
      </c>
      <c r="I9" s="496" t="s">
        <v>462</v>
      </c>
      <c r="J9" s="319" t="s">
        <v>463</v>
      </c>
      <c r="K9" s="498" t="s">
        <v>460</v>
      </c>
      <c r="L9" s="298">
        <v>26</v>
      </c>
      <c r="M9" s="498">
        <v>14</v>
      </c>
      <c r="N9" s="320" t="s">
        <v>242</v>
      </c>
      <c r="O9" s="321">
        <v>15.3</v>
      </c>
      <c r="P9" s="301">
        <v>2400000</v>
      </c>
      <c r="Q9" s="301">
        <f>ROUND(O9*P9,-3)</f>
        <v>36720000</v>
      </c>
      <c r="R9" s="302"/>
      <c r="S9" s="301"/>
      <c r="T9" s="301"/>
      <c r="U9" s="301"/>
      <c r="V9" s="301"/>
      <c r="W9" s="302"/>
      <c r="X9" s="301">
        <v>770000</v>
      </c>
      <c r="Y9" s="301">
        <v>63771000</v>
      </c>
      <c r="Z9" s="302"/>
      <c r="AA9" s="302"/>
      <c r="AB9" s="302"/>
      <c r="AC9" s="303"/>
      <c r="AD9" s="304"/>
      <c r="AE9" s="303"/>
      <c r="AF9" s="301"/>
      <c r="AG9" s="306">
        <f>500000*O9</f>
        <v>7650000</v>
      </c>
      <c r="AH9" s="500">
        <f>Q9+Q10+R10+W10+X9+Y9+AF10+AG9+AG10</f>
        <v>206861000</v>
      </c>
      <c r="AI9" s="502"/>
      <c r="AJ9" s="322"/>
      <c r="AK9" s="322"/>
      <c r="AL9" s="309"/>
      <c r="AM9" s="323"/>
      <c r="AN9" s="309"/>
      <c r="AO9" s="324"/>
      <c r="AP9" s="325"/>
      <c r="AQ9" s="326"/>
      <c r="AR9" s="326"/>
      <c r="AS9" s="326"/>
      <c r="AT9" s="326"/>
      <c r="AU9" s="326"/>
      <c r="AV9" s="326"/>
      <c r="AW9" s="326"/>
      <c r="AX9" s="326"/>
      <c r="AY9" s="326"/>
      <c r="AZ9" s="326"/>
      <c r="BA9" s="326"/>
      <c r="BB9" s="326"/>
      <c r="BC9" s="326"/>
      <c r="BD9" s="326"/>
      <c r="BE9" s="326"/>
      <c r="BF9" s="326"/>
    </row>
    <row r="10" spans="1:58" s="327" customFormat="1" ht="26.45" customHeight="1" x14ac:dyDescent="0.3">
      <c r="A10" s="495"/>
      <c r="B10" s="315"/>
      <c r="C10" s="316"/>
      <c r="D10" s="316"/>
      <c r="E10" s="317"/>
      <c r="F10" s="316"/>
      <c r="G10" s="318"/>
      <c r="H10" s="316"/>
      <c r="I10" s="497"/>
      <c r="J10" s="319"/>
      <c r="K10" s="499"/>
      <c r="L10" s="298">
        <v>25</v>
      </c>
      <c r="M10" s="499"/>
      <c r="N10" s="320" t="s">
        <v>60</v>
      </c>
      <c r="O10" s="321">
        <v>53.5</v>
      </c>
      <c r="P10" s="328">
        <v>85000</v>
      </c>
      <c r="Q10" s="301">
        <f>ROUND(O10*P10*1.5,-3)</f>
        <v>6821000</v>
      </c>
      <c r="R10" s="302">
        <f>ROUND(O10*255000,-3)</f>
        <v>13643000</v>
      </c>
      <c r="S10" s="301"/>
      <c r="T10" s="301"/>
      <c r="U10" s="301"/>
      <c r="V10" s="301"/>
      <c r="W10" s="302">
        <f>ROUND(O10*1323000,-3)</f>
        <v>70781000</v>
      </c>
      <c r="X10" s="301"/>
      <c r="Y10" s="301"/>
      <c r="Z10" s="302"/>
      <c r="AA10" s="302"/>
      <c r="AB10" s="302"/>
      <c r="AC10" s="303">
        <v>5</v>
      </c>
      <c r="AD10" s="304">
        <v>1.58</v>
      </c>
      <c r="AE10" s="303">
        <v>2</v>
      </c>
      <c r="AF10" s="301">
        <f>5*30*17000*2</f>
        <v>5100000</v>
      </c>
      <c r="AG10" s="329">
        <f>O10*30000</f>
        <v>1605000</v>
      </c>
      <c r="AH10" s="501"/>
      <c r="AI10" s="503"/>
      <c r="AJ10" s="322">
        <v>3377</v>
      </c>
      <c r="AK10" s="330">
        <v>1.584246372519988</v>
      </c>
      <c r="AL10" s="309"/>
      <c r="AM10" s="323"/>
      <c r="AN10" s="309"/>
      <c r="AO10" s="324"/>
      <c r="AP10" s="325"/>
      <c r="AQ10" s="326"/>
      <c r="AR10" s="326"/>
      <c r="AS10" s="326"/>
      <c r="AT10" s="326"/>
      <c r="AU10" s="326"/>
      <c r="AV10" s="326"/>
      <c r="AW10" s="326"/>
      <c r="AX10" s="326"/>
      <c r="AY10" s="326"/>
      <c r="AZ10" s="326"/>
      <c r="BA10" s="326"/>
      <c r="BB10" s="326"/>
      <c r="BC10" s="326"/>
      <c r="BD10" s="326"/>
      <c r="BE10" s="326"/>
      <c r="BF10" s="326"/>
    </row>
    <row r="11" spans="1:58" s="314" customFormat="1" ht="27" customHeight="1" x14ac:dyDescent="0.25">
      <c r="A11" s="506">
        <v>3</v>
      </c>
      <c r="B11" s="293">
        <v>147</v>
      </c>
      <c r="C11" s="293">
        <v>21</v>
      </c>
      <c r="D11" s="294">
        <v>160</v>
      </c>
      <c r="E11" s="295">
        <v>621.1</v>
      </c>
      <c r="F11" s="294" t="s">
        <v>464</v>
      </c>
      <c r="G11" s="296"/>
      <c r="H11" s="506">
        <v>3</v>
      </c>
      <c r="I11" s="507" t="s">
        <v>465</v>
      </c>
      <c r="J11" s="298" t="s">
        <v>466</v>
      </c>
      <c r="K11" s="498" t="s">
        <v>460</v>
      </c>
      <c r="L11" s="298">
        <v>23</v>
      </c>
      <c r="M11" s="498">
        <v>14</v>
      </c>
      <c r="N11" s="298" t="s">
        <v>240</v>
      </c>
      <c r="O11" s="331">
        <v>212.1</v>
      </c>
      <c r="P11" s="332">
        <v>75000</v>
      </c>
      <c r="Q11" s="301">
        <f t="shared" ref="Q11:Q19" si="0">ROUND(O11*P11,-3)</f>
        <v>15908000</v>
      </c>
      <c r="R11" s="302">
        <f>ROUND(O11*225000,-3)</f>
        <v>47723000</v>
      </c>
      <c r="S11" s="302"/>
      <c r="T11" s="302"/>
      <c r="U11" s="302"/>
      <c r="V11" s="302"/>
      <c r="W11" s="302"/>
      <c r="X11" s="302">
        <v>810000</v>
      </c>
      <c r="Y11" s="302">
        <v>74228000</v>
      </c>
      <c r="Z11" s="302"/>
      <c r="AA11" s="302"/>
      <c r="AB11" s="302"/>
      <c r="AC11" s="509">
        <v>3</v>
      </c>
      <c r="AD11" s="511">
        <v>25.57</v>
      </c>
      <c r="AE11" s="509">
        <v>5</v>
      </c>
      <c r="AF11" s="513">
        <f>3*30*17000*5</f>
        <v>7650000</v>
      </c>
      <c r="AG11" s="329">
        <f t="shared" ref="AG11:AG13" si="1">O11*30000</f>
        <v>6363000</v>
      </c>
      <c r="AH11" s="515">
        <f>Q11+Q12+R11+R12+W12+X11+Y11+AF11+AG11+AG12</f>
        <v>198153000</v>
      </c>
      <c r="AI11" s="516" t="s">
        <v>467</v>
      </c>
      <c r="AJ11" s="308"/>
      <c r="AK11" s="505">
        <f>238.3/AJ12*100</f>
        <v>25.568669527896997</v>
      </c>
      <c r="AL11" s="334">
        <f t="shared" ref="AL11:AL18" si="2">O11*P11</f>
        <v>15907500</v>
      </c>
      <c r="AM11" s="310"/>
      <c r="AN11" s="311"/>
      <c r="AO11" s="312"/>
      <c r="AP11" s="313"/>
    </row>
    <row r="12" spans="1:58" s="314" customFormat="1" ht="26.25" customHeight="1" x14ac:dyDescent="0.25">
      <c r="A12" s="506"/>
      <c r="B12" s="293"/>
      <c r="C12" s="293"/>
      <c r="D12" s="294"/>
      <c r="E12" s="295"/>
      <c r="F12" s="294"/>
      <c r="G12" s="296"/>
      <c r="H12" s="506"/>
      <c r="I12" s="508"/>
      <c r="J12" s="298"/>
      <c r="K12" s="499"/>
      <c r="L12" s="298">
        <v>22</v>
      </c>
      <c r="M12" s="499"/>
      <c r="N12" s="298" t="s">
        <v>60</v>
      </c>
      <c r="O12" s="331">
        <v>26.2</v>
      </c>
      <c r="P12" s="332">
        <v>85000</v>
      </c>
      <c r="Q12" s="301">
        <f>ROUND(O12*P12*1.5,-3)</f>
        <v>3341000</v>
      </c>
      <c r="R12" s="302">
        <f>ROUND(O12*255000,-3)</f>
        <v>6681000</v>
      </c>
      <c r="S12" s="302"/>
      <c r="T12" s="302"/>
      <c r="U12" s="302"/>
      <c r="V12" s="302"/>
      <c r="W12" s="302">
        <f>ROUND(O12*1323000,-3)</f>
        <v>34663000</v>
      </c>
      <c r="X12" s="302"/>
      <c r="Y12" s="302"/>
      <c r="Z12" s="302"/>
      <c r="AA12" s="302"/>
      <c r="AC12" s="510"/>
      <c r="AD12" s="512"/>
      <c r="AE12" s="510"/>
      <c r="AF12" s="514"/>
      <c r="AG12" s="329">
        <f t="shared" si="1"/>
        <v>786000</v>
      </c>
      <c r="AH12" s="515"/>
      <c r="AI12" s="517"/>
      <c r="AJ12" s="308">
        <v>932</v>
      </c>
      <c r="AK12" s="505"/>
      <c r="AL12" s="309"/>
      <c r="AM12" s="310"/>
      <c r="AN12" s="311"/>
      <c r="AO12" s="312"/>
      <c r="AP12" s="313"/>
    </row>
    <row r="13" spans="1:58" s="314" customFormat="1" ht="35.1" customHeight="1" x14ac:dyDescent="0.25">
      <c r="A13" s="292">
        <v>4</v>
      </c>
      <c r="B13" s="293"/>
      <c r="C13" s="293"/>
      <c r="D13" s="294"/>
      <c r="E13" s="295"/>
      <c r="F13" s="294"/>
      <c r="G13" s="296"/>
      <c r="H13" s="292">
        <v>5</v>
      </c>
      <c r="I13" s="297" t="s">
        <v>468</v>
      </c>
      <c r="J13" s="298" t="s">
        <v>466</v>
      </c>
      <c r="K13" s="298" t="s">
        <v>460</v>
      </c>
      <c r="L13" s="298">
        <v>19</v>
      </c>
      <c r="M13" s="335">
        <v>14</v>
      </c>
      <c r="N13" s="336" t="s">
        <v>240</v>
      </c>
      <c r="O13" s="331">
        <v>119.6</v>
      </c>
      <c r="P13" s="332">
        <v>75000</v>
      </c>
      <c r="Q13" s="301">
        <f t="shared" si="0"/>
        <v>8970000</v>
      </c>
      <c r="R13" s="302">
        <f>ROUND(O13*225000,-3)</f>
        <v>26910000</v>
      </c>
      <c r="S13" s="337"/>
      <c r="T13" s="337"/>
      <c r="U13" s="337"/>
      <c r="V13" s="337"/>
      <c r="W13" s="337"/>
      <c r="X13" s="337">
        <v>7200000</v>
      </c>
      <c r="Y13" s="337">
        <v>23451000</v>
      </c>
      <c r="Z13" s="337"/>
      <c r="AA13" s="337"/>
      <c r="AB13" s="337"/>
      <c r="AC13" s="338">
        <v>4</v>
      </c>
      <c r="AD13" s="339">
        <v>14.82</v>
      </c>
      <c r="AE13" s="338">
        <v>3</v>
      </c>
      <c r="AF13" s="337">
        <f>4*30*17000*3</f>
        <v>6120000</v>
      </c>
      <c r="AG13" s="329">
        <f t="shared" si="1"/>
        <v>3588000</v>
      </c>
      <c r="AH13" s="306">
        <f>Q13+R13+W13+X13+Y13+Z13+AA13+AB13+AF13+AG13</f>
        <v>76239000</v>
      </c>
      <c r="AI13" s="307"/>
      <c r="AJ13" s="308">
        <v>807</v>
      </c>
      <c r="AK13" s="340">
        <v>14.820322180916975</v>
      </c>
      <c r="AL13" s="309">
        <f t="shared" si="2"/>
        <v>8970000</v>
      </c>
      <c r="AM13" s="310"/>
      <c r="AN13" s="311"/>
      <c r="AO13" s="312"/>
      <c r="AP13" s="313"/>
    </row>
    <row r="14" spans="1:58" s="327" customFormat="1" ht="35.1" customHeight="1" x14ac:dyDescent="0.3">
      <c r="A14" s="341">
        <v>5</v>
      </c>
      <c r="B14" s="315"/>
      <c r="C14" s="316"/>
      <c r="D14" s="316"/>
      <c r="E14" s="317"/>
      <c r="F14" s="316"/>
      <c r="G14" s="318"/>
      <c r="H14" s="316">
        <v>2</v>
      </c>
      <c r="I14" s="342" t="s">
        <v>469</v>
      </c>
      <c r="J14" s="319" t="s">
        <v>463</v>
      </c>
      <c r="K14" s="298" t="s">
        <v>460</v>
      </c>
      <c r="L14" s="298">
        <v>18</v>
      </c>
      <c r="M14" s="298">
        <v>14</v>
      </c>
      <c r="N14" s="320" t="s">
        <v>242</v>
      </c>
      <c r="O14" s="343">
        <f>143.9</f>
        <v>143.9</v>
      </c>
      <c r="P14" s="301">
        <v>2400000</v>
      </c>
      <c r="Q14" s="301">
        <f t="shared" si="0"/>
        <v>345360000</v>
      </c>
      <c r="R14" s="302"/>
      <c r="S14" s="301"/>
      <c r="T14" s="301"/>
      <c r="U14" s="301"/>
      <c r="V14" s="301"/>
      <c r="W14" s="302"/>
      <c r="X14" s="301">
        <v>5627000</v>
      </c>
      <c r="Y14" s="301">
        <v>113191000</v>
      </c>
      <c r="Z14" s="302"/>
      <c r="AA14" s="302"/>
      <c r="AB14" s="302"/>
      <c r="AC14" s="303"/>
      <c r="AD14" s="304"/>
      <c r="AE14" s="303"/>
      <c r="AF14" s="301"/>
      <c r="AG14" s="306">
        <v>30000000</v>
      </c>
      <c r="AH14" s="306">
        <f t="shared" ref="AH14:AH15" si="3">Q14+R14+W14+X14+Y14+Z14+AA14+AB14+AF14+AG14</f>
        <v>494178000</v>
      </c>
      <c r="AI14" s="344"/>
      <c r="AJ14" s="322"/>
      <c r="AK14" s="330"/>
      <c r="AL14" s="309"/>
      <c r="AM14" s="323"/>
      <c r="AN14" s="309"/>
      <c r="AO14" s="324"/>
      <c r="AP14" s="325"/>
      <c r="AQ14" s="326"/>
      <c r="AR14" s="326"/>
      <c r="AS14" s="326"/>
      <c r="AT14" s="326"/>
      <c r="AU14" s="326"/>
      <c r="AV14" s="326"/>
      <c r="AW14" s="326"/>
      <c r="AX14" s="326"/>
      <c r="AY14" s="326"/>
      <c r="AZ14" s="326"/>
      <c r="BA14" s="326"/>
      <c r="BB14" s="326"/>
      <c r="BC14" s="326"/>
      <c r="BD14" s="326"/>
      <c r="BE14" s="326"/>
      <c r="BF14" s="326"/>
    </row>
    <row r="15" spans="1:58" s="314" customFormat="1" ht="56.25" x14ac:dyDescent="0.25">
      <c r="A15" s="292">
        <v>6</v>
      </c>
      <c r="B15" s="293"/>
      <c r="C15" s="293"/>
      <c r="D15" s="294"/>
      <c r="E15" s="295"/>
      <c r="F15" s="294"/>
      <c r="G15" s="296"/>
      <c r="H15" s="292">
        <v>5</v>
      </c>
      <c r="I15" s="297" t="s">
        <v>470</v>
      </c>
      <c r="J15" s="298" t="s">
        <v>466</v>
      </c>
      <c r="K15" s="298" t="s">
        <v>460</v>
      </c>
      <c r="L15" s="298">
        <v>24</v>
      </c>
      <c r="M15" s="335">
        <v>14</v>
      </c>
      <c r="N15" s="336" t="s">
        <v>240</v>
      </c>
      <c r="O15" s="331">
        <v>145.6</v>
      </c>
      <c r="P15" s="332">
        <v>75000</v>
      </c>
      <c r="Q15" s="301">
        <f t="shared" si="0"/>
        <v>10920000</v>
      </c>
      <c r="R15" s="302">
        <f>ROUND(O15*225000,-3)</f>
        <v>32760000</v>
      </c>
      <c r="S15" s="337"/>
      <c r="T15" s="337"/>
      <c r="U15" s="337"/>
      <c r="V15" s="337"/>
      <c r="W15" s="337"/>
      <c r="X15" s="345"/>
      <c r="Y15" s="337">
        <v>1820000</v>
      </c>
      <c r="Z15" s="337"/>
      <c r="AA15" s="337"/>
      <c r="AB15" s="337"/>
      <c r="AC15" s="338">
        <v>5</v>
      </c>
      <c r="AD15" s="339">
        <v>10.46</v>
      </c>
      <c r="AE15" s="338">
        <v>3</v>
      </c>
      <c r="AF15" s="337">
        <f>30*17000*5*3</f>
        <v>7650000</v>
      </c>
      <c r="AG15" s="346">
        <f>O15*30000</f>
        <v>4368000</v>
      </c>
      <c r="AH15" s="306">
        <f t="shared" si="3"/>
        <v>57518000</v>
      </c>
      <c r="AI15" s="307" t="s">
        <v>471</v>
      </c>
      <c r="AJ15" s="308">
        <v>1392</v>
      </c>
      <c r="AK15" s="340">
        <v>10.459770114942527</v>
      </c>
      <c r="AL15" s="309">
        <f t="shared" si="2"/>
        <v>10920000</v>
      </c>
      <c r="AM15" s="310"/>
      <c r="AN15" s="311"/>
      <c r="AO15" s="312"/>
      <c r="AP15" s="313"/>
    </row>
    <row r="16" spans="1:58" s="314" customFormat="1" ht="23.1" customHeight="1" x14ac:dyDescent="0.25">
      <c r="A16" s="506">
        <v>7</v>
      </c>
      <c r="B16" s="293">
        <v>147</v>
      </c>
      <c r="C16" s="293">
        <v>21</v>
      </c>
      <c r="D16" s="294">
        <v>160</v>
      </c>
      <c r="E16" s="295">
        <v>621.1</v>
      </c>
      <c r="F16" s="294" t="s">
        <v>464</v>
      </c>
      <c r="G16" s="296"/>
      <c r="H16" s="506">
        <v>3</v>
      </c>
      <c r="I16" s="507" t="s">
        <v>472</v>
      </c>
      <c r="J16" s="298" t="s">
        <v>466</v>
      </c>
      <c r="K16" s="498" t="s">
        <v>460</v>
      </c>
      <c r="L16" s="298">
        <v>13</v>
      </c>
      <c r="M16" s="498">
        <v>14</v>
      </c>
      <c r="N16" s="298" t="s">
        <v>240</v>
      </c>
      <c r="O16" s="299">
        <v>29.7</v>
      </c>
      <c r="P16" s="347">
        <v>75000</v>
      </c>
      <c r="Q16" s="306">
        <f t="shared" si="0"/>
        <v>2228000</v>
      </c>
      <c r="R16" s="305">
        <f>ROUND(O16*225000,-3)</f>
        <v>6683000</v>
      </c>
      <c r="S16" s="305"/>
      <c r="T16" s="305"/>
      <c r="U16" s="305"/>
      <c r="V16" s="305"/>
      <c r="W16" s="305"/>
      <c r="X16" s="305">
        <v>6003000</v>
      </c>
      <c r="Y16" s="305">
        <v>34851000</v>
      </c>
      <c r="Z16" s="305"/>
      <c r="AA16" s="305"/>
      <c r="AB16" s="305"/>
      <c r="AC16" s="348"/>
      <c r="AD16" s="349"/>
      <c r="AE16" s="348"/>
      <c r="AF16" s="302"/>
      <c r="AG16" s="346">
        <f>O16*30000</f>
        <v>891000</v>
      </c>
      <c r="AH16" s="515">
        <f>Q16+Q17+R16+X16+Y16+AF16+AG16+AG17</f>
        <v>417136000</v>
      </c>
      <c r="AI16" s="519" t="s">
        <v>473</v>
      </c>
      <c r="AJ16" s="308"/>
      <c r="AK16" s="340"/>
      <c r="AL16" s="309">
        <f t="shared" si="2"/>
        <v>2227500</v>
      </c>
      <c r="AM16" s="310"/>
      <c r="AN16" s="311"/>
      <c r="AO16" s="312"/>
      <c r="AP16" s="313"/>
    </row>
    <row r="17" spans="1:42" s="314" customFormat="1" ht="23.1" customHeight="1" x14ac:dyDescent="0.25">
      <c r="A17" s="506"/>
      <c r="B17" s="293"/>
      <c r="C17" s="293"/>
      <c r="D17" s="294"/>
      <c r="E17" s="295"/>
      <c r="F17" s="294"/>
      <c r="G17" s="296"/>
      <c r="H17" s="506"/>
      <c r="I17" s="508"/>
      <c r="J17" s="298"/>
      <c r="K17" s="499"/>
      <c r="L17" s="298">
        <v>14</v>
      </c>
      <c r="M17" s="499"/>
      <c r="N17" s="298" t="s">
        <v>242</v>
      </c>
      <c r="O17" s="299">
        <v>140.19999999999999</v>
      </c>
      <c r="P17" s="350">
        <v>2400000</v>
      </c>
      <c r="Q17" s="306">
        <f t="shared" si="0"/>
        <v>336480000</v>
      </c>
      <c r="R17" s="305"/>
      <c r="S17" s="305"/>
      <c r="T17" s="305"/>
      <c r="U17" s="305"/>
      <c r="V17" s="305"/>
      <c r="W17" s="305"/>
      <c r="X17" s="305"/>
      <c r="Y17" s="305"/>
      <c r="Z17" s="305"/>
      <c r="AA17" s="305"/>
      <c r="AB17" s="305"/>
      <c r="AC17" s="348"/>
      <c r="AD17" s="349"/>
      <c r="AE17" s="348"/>
      <c r="AF17" s="302"/>
      <c r="AG17" s="305">
        <v>30000000</v>
      </c>
      <c r="AH17" s="515"/>
      <c r="AI17" s="520"/>
      <c r="AJ17" s="308"/>
      <c r="AK17" s="340"/>
      <c r="AL17" s="309"/>
      <c r="AM17" s="310"/>
      <c r="AN17" s="311"/>
      <c r="AO17" s="312"/>
      <c r="AP17" s="313"/>
    </row>
    <row r="18" spans="1:42" s="314" customFormat="1" ht="26.1" customHeight="1" x14ac:dyDescent="0.25">
      <c r="A18" s="506">
        <v>8</v>
      </c>
      <c r="B18" s="293">
        <v>147</v>
      </c>
      <c r="C18" s="293">
        <v>21</v>
      </c>
      <c r="D18" s="294">
        <v>160</v>
      </c>
      <c r="E18" s="295">
        <v>621.1</v>
      </c>
      <c r="F18" s="294" t="s">
        <v>464</v>
      </c>
      <c r="G18" s="296"/>
      <c r="H18" s="506">
        <v>3</v>
      </c>
      <c r="I18" s="507" t="s">
        <v>474</v>
      </c>
      <c r="J18" s="298" t="s">
        <v>466</v>
      </c>
      <c r="K18" s="498" t="s">
        <v>460</v>
      </c>
      <c r="L18" s="298">
        <v>11</v>
      </c>
      <c r="M18" s="498">
        <v>14</v>
      </c>
      <c r="N18" s="298" t="s">
        <v>240</v>
      </c>
      <c r="O18" s="299">
        <v>119.7</v>
      </c>
      <c r="P18" s="347">
        <v>75000</v>
      </c>
      <c r="Q18" s="306">
        <f t="shared" si="0"/>
        <v>8978000</v>
      </c>
      <c r="R18" s="305">
        <f>ROUND(O18*225000,-3)</f>
        <v>26933000</v>
      </c>
      <c r="S18" s="305"/>
      <c r="T18" s="305"/>
      <c r="U18" s="305"/>
      <c r="V18" s="305"/>
      <c r="W18" s="305"/>
      <c r="X18" s="305">
        <v>6568000</v>
      </c>
      <c r="Y18" s="305">
        <v>145082000</v>
      </c>
      <c r="Z18" s="305"/>
      <c r="AA18" s="305"/>
      <c r="AB18" s="305"/>
      <c r="AC18" s="348">
        <v>8</v>
      </c>
      <c r="AD18" s="349">
        <v>3.44</v>
      </c>
      <c r="AE18" s="348">
        <v>2</v>
      </c>
      <c r="AF18" s="302">
        <f>30*17000*8*2</f>
        <v>8160000</v>
      </c>
      <c r="AG18" s="346">
        <f>O18*30000</f>
        <v>3591000</v>
      </c>
      <c r="AH18" s="515">
        <f>Q18+Q19+R18+X18+Y18+AF18+AG18+AG19</f>
        <v>468892000</v>
      </c>
      <c r="AI18" s="516" t="s">
        <v>475</v>
      </c>
      <c r="AJ18" s="308">
        <v>3483</v>
      </c>
      <c r="AK18" s="340">
        <v>3.4366925064599485</v>
      </c>
      <c r="AL18" s="309">
        <f t="shared" si="2"/>
        <v>8977500</v>
      </c>
      <c r="AM18" s="310"/>
      <c r="AN18" s="311"/>
      <c r="AO18" s="312"/>
      <c r="AP18" s="313"/>
    </row>
    <row r="19" spans="1:42" s="314" customFormat="1" ht="26.1" customHeight="1" x14ac:dyDescent="0.25">
      <c r="A19" s="506"/>
      <c r="B19" s="293"/>
      <c r="C19" s="293"/>
      <c r="D19" s="294"/>
      <c r="E19" s="295"/>
      <c r="F19" s="294"/>
      <c r="G19" s="296"/>
      <c r="H19" s="506"/>
      <c r="I19" s="508"/>
      <c r="J19" s="298"/>
      <c r="K19" s="499"/>
      <c r="L19" s="298">
        <v>12</v>
      </c>
      <c r="M19" s="499"/>
      <c r="N19" s="298" t="s">
        <v>242</v>
      </c>
      <c r="O19" s="299">
        <v>133.1</v>
      </c>
      <c r="P19" s="350">
        <v>1800000</v>
      </c>
      <c r="Q19" s="306">
        <f t="shared" si="0"/>
        <v>239580000</v>
      </c>
      <c r="R19" s="305"/>
      <c r="S19" s="305"/>
      <c r="T19" s="305"/>
      <c r="U19" s="305"/>
      <c r="V19" s="305"/>
      <c r="W19" s="305"/>
      <c r="X19" s="305"/>
      <c r="Y19" s="305"/>
      <c r="Z19" s="305"/>
      <c r="AA19" s="305"/>
      <c r="AB19" s="305"/>
      <c r="AC19" s="348"/>
      <c r="AD19" s="349"/>
      <c r="AE19" s="348"/>
      <c r="AF19" s="302"/>
      <c r="AG19" s="305">
        <v>30000000</v>
      </c>
      <c r="AH19" s="515"/>
      <c r="AI19" s="521"/>
      <c r="AJ19" s="308"/>
      <c r="AK19" s="340"/>
      <c r="AL19" s="309"/>
      <c r="AM19" s="310"/>
      <c r="AN19" s="311"/>
      <c r="AO19" s="312"/>
      <c r="AP19" s="313"/>
    </row>
    <row r="20" spans="1:42" s="314" customFormat="1" ht="29.25" customHeight="1" x14ac:dyDescent="0.25">
      <c r="A20" s="292">
        <v>9</v>
      </c>
      <c r="B20" s="293"/>
      <c r="C20" s="293"/>
      <c r="D20" s="294"/>
      <c r="E20" s="295"/>
      <c r="F20" s="294"/>
      <c r="G20" s="296"/>
      <c r="H20" s="292"/>
      <c r="I20" s="351" t="s">
        <v>476</v>
      </c>
      <c r="J20" s="294"/>
      <c r="K20" s="294"/>
      <c r="L20" s="294">
        <v>2</v>
      </c>
      <c r="M20" s="294">
        <v>26</v>
      </c>
      <c r="N20" s="294" t="s">
        <v>477</v>
      </c>
      <c r="O20" s="352"/>
      <c r="P20" s="350"/>
      <c r="Q20" s="306"/>
      <c r="R20" s="305"/>
      <c r="S20" s="305"/>
      <c r="T20" s="305"/>
      <c r="U20" s="305"/>
      <c r="V20" s="305"/>
      <c r="W20" s="305"/>
      <c r="X20" s="305"/>
      <c r="Y20" s="305"/>
      <c r="Z20" s="305"/>
      <c r="AA20" s="305">
        <v>20000000</v>
      </c>
      <c r="AB20" s="305"/>
      <c r="AC20" s="348"/>
      <c r="AD20" s="349"/>
      <c r="AE20" s="348"/>
      <c r="AF20" s="302"/>
      <c r="AG20" s="305"/>
      <c r="AH20" s="306">
        <v>20000000</v>
      </c>
      <c r="AI20" s="307" t="s">
        <v>421</v>
      </c>
      <c r="AJ20" s="353"/>
      <c r="AK20" s="353"/>
      <c r="AL20" s="311"/>
      <c r="AM20" s="310"/>
      <c r="AN20" s="311"/>
      <c r="AO20" s="312"/>
      <c r="AP20" s="313"/>
    </row>
    <row r="21" spans="1:42" s="366" customFormat="1" ht="29.25" customHeight="1" x14ac:dyDescent="0.2">
      <c r="A21" s="354"/>
      <c r="B21" s="355"/>
      <c r="C21" s="354"/>
      <c r="D21" s="355"/>
      <c r="E21" s="356"/>
      <c r="F21" s="355"/>
      <c r="G21" s="357">
        <f>SUM(G9:G19)</f>
        <v>0</v>
      </c>
      <c r="H21" s="357"/>
      <c r="I21" s="358" t="s">
        <v>254</v>
      </c>
      <c r="J21" s="357">
        <f>SUM(J9:J19)</f>
        <v>0</v>
      </c>
      <c r="K21" s="357"/>
      <c r="L21" s="358"/>
      <c r="M21" s="358"/>
      <c r="N21" s="358"/>
      <c r="O21" s="357">
        <f>SUM(O8:O19)</f>
        <v>1380.2</v>
      </c>
      <c r="P21" s="357"/>
      <c r="Q21" s="359">
        <f>SUM(Q8:Q19)</f>
        <v>2822643000</v>
      </c>
      <c r="R21" s="359">
        <f t="shared" ref="R21:Y21" si="4">SUM(R8:R19)</f>
        <v>161333000</v>
      </c>
      <c r="S21" s="359">
        <f t="shared" si="4"/>
        <v>0</v>
      </c>
      <c r="T21" s="359">
        <f t="shared" si="4"/>
        <v>0</v>
      </c>
      <c r="U21" s="359">
        <f t="shared" si="4"/>
        <v>0</v>
      </c>
      <c r="V21" s="359">
        <f t="shared" si="4"/>
        <v>0</v>
      </c>
      <c r="W21" s="359">
        <f t="shared" si="4"/>
        <v>105444000</v>
      </c>
      <c r="X21" s="359">
        <f t="shared" si="4"/>
        <v>38172000</v>
      </c>
      <c r="Y21" s="359">
        <f t="shared" si="4"/>
        <v>1274826000</v>
      </c>
      <c r="Z21" s="359">
        <f>SUM(Z8:Z19)</f>
        <v>15000000</v>
      </c>
      <c r="AA21" s="359">
        <f>SUM(AA9:AA20)</f>
        <v>20000000</v>
      </c>
      <c r="AB21" s="359">
        <f>SUM(AB8:AB19)</f>
        <v>54000000</v>
      </c>
      <c r="AC21" s="360"/>
      <c r="AD21" s="359"/>
      <c r="AE21" s="360"/>
      <c r="AF21" s="361">
        <f>SUM(AF9:AF20)</f>
        <v>34680000</v>
      </c>
      <c r="AG21" s="359">
        <f>SUM(AG8:AG20)</f>
        <v>148842000</v>
      </c>
      <c r="AH21" s="359">
        <f>SUM(AH8:AH20)</f>
        <v>4674940000</v>
      </c>
      <c r="AI21" s="359"/>
      <c r="AJ21" s="362"/>
      <c r="AK21" s="362"/>
      <c r="AL21" s="362"/>
      <c r="AM21" s="363"/>
      <c r="AN21" s="362"/>
      <c r="AO21" s="364"/>
      <c r="AP21" s="365"/>
    </row>
    <row r="22" spans="1:42" s="366" customFormat="1" ht="29.25" customHeight="1" x14ac:dyDescent="0.2">
      <c r="A22" s="518" t="s">
        <v>478</v>
      </c>
      <c r="B22" s="518"/>
      <c r="C22" s="518"/>
      <c r="D22" s="518"/>
      <c r="E22" s="518"/>
      <c r="F22" s="518"/>
      <c r="G22" s="518"/>
      <c r="H22" s="518"/>
      <c r="I22" s="518"/>
      <c r="J22" s="357"/>
      <c r="K22" s="357"/>
      <c r="L22" s="358"/>
      <c r="M22" s="358"/>
      <c r="N22" s="358"/>
      <c r="O22" s="357"/>
      <c r="P22" s="357"/>
      <c r="Q22" s="359"/>
      <c r="R22" s="359"/>
      <c r="S22" s="359"/>
      <c r="T22" s="359"/>
      <c r="U22" s="359"/>
      <c r="V22" s="359"/>
      <c r="W22" s="359"/>
      <c r="X22" s="359"/>
      <c r="Y22" s="359"/>
      <c r="Z22" s="359"/>
      <c r="AA22" s="359"/>
      <c r="AB22" s="359"/>
      <c r="AC22" s="360"/>
      <c r="AD22" s="359"/>
      <c r="AE22" s="360"/>
      <c r="AF22" s="361"/>
      <c r="AG22" s="359"/>
      <c r="AH22" s="359">
        <f>ROUND(AH21*2%,-3)</f>
        <v>93499000</v>
      </c>
      <c r="AI22" s="359"/>
      <c r="AJ22" s="362"/>
      <c r="AK22" s="362"/>
      <c r="AL22" s="362"/>
      <c r="AM22" s="363"/>
      <c r="AN22" s="362"/>
      <c r="AO22" s="364"/>
      <c r="AP22" s="365"/>
    </row>
    <row r="23" spans="1:42" s="374" customFormat="1" ht="20.25" customHeight="1" x14ac:dyDescent="0.3">
      <c r="A23" s="518" t="s">
        <v>254</v>
      </c>
      <c r="B23" s="518"/>
      <c r="C23" s="518"/>
      <c r="D23" s="518"/>
      <c r="E23" s="518"/>
      <c r="F23" s="518"/>
      <c r="G23" s="518"/>
      <c r="H23" s="518"/>
      <c r="I23" s="518"/>
      <c r="J23" s="367"/>
      <c r="K23" s="367"/>
      <c r="L23" s="367"/>
      <c r="M23" s="367"/>
      <c r="N23" s="367"/>
      <c r="O23" s="368"/>
      <c r="P23" s="368"/>
      <c r="Q23" s="368"/>
      <c r="R23" s="367"/>
      <c r="S23" s="367"/>
      <c r="T23" s="367"/>
      <c r="U23" s="367"/>
      <c r="V23" s="367"/>
      <c r="W23" s="367"/>
      <c r="X23" s="367"/>
      <c r="Y23" s="367"/>
      <c r="Z23" s="367"/>
      <c r="AA23" s="367"/>
      <c r="AB23" s="367"/>
      <c r="AC23" s="367"/>
      <c r="AD23" s="367"/>
      <c r="AE23" s="367"/>
      <c r="AF23" s="367"/>
      <c r="AG23" s="367"/>
      <c r="AH23" s="359">
        <f>AH21+AH22</f>
        <v>4768439000</v>
      </c>
      <c r="AI23" s="367"/>
      <c r="AJ23" s="369"/>
      <c r="AK23" s="369"/>
      <c r="AL23" s="370"/>
      <c r="AM23" s="371"/>
      <c r="AN23" s="370"/>
      <c r="AO23" s="372"/>
      <c r="AP23" s="373"/>
    </row>
    <row r="24" spans="1:42" ht="20.25" customHeight="1" x14ac:dyDescent="0.3">
      <c r="Q24" s="381">
        <f>Q8+Q19+Q17+Q14+Q9</f>
        <v>2765477000</v>
      </c>
      <c r="AH24" s="382"/>
    </row>
  </sheetData>
  <autoFilter ref="A6:BF21">
    <filterColumn colId="9" showButton="0"/>
    <filterColumn colId="10" hiddenButton="1" showButton="0"/>
    <filterColumn colId="13" showButton="0"/>
  </autoFilter>
  <mergeCells count="60">
    <mergeCell ref="A22:I22"/>
    <mergeCell ref="A23:I23"/>
    <mergeCell ref="AI16:AI17"/>
    <mergeCell ref="A18:A19"/>
    <mergeCell ref="H18:H19"/>
    <mergeCell ref="I18:I19"/>
    <mergeCell ref="K18:K19"/>
    <mergeCell ref="M18:M19"/>
    <mergeCell ref="AH18:AH19"/>
    <mergeCell ref="AI18:AI19"/>
    <mergeCell ref="A16:A17"/>
    <mergeCell ref="H16:H17"/>
    <mergeCell ref="I16:I17"/>
    <mergeCell ref="K16:K17"/>
    <mergeCell ref="M16:M17"/>
    <mergeCell ref="AH16:AH17"/>
    <mergeCell ref="AK11:AK12"/>
    <mergeCell ref="A11:A12"/>
    <mergeCell ref="H11:H12"/>
    <mergeCell ref="I11:I12"/>
    <mergeCell ref="K11:K12"/>
    <mergeCell ref="M11:M12"/>
    <mergeCell ref="AC11:AC12"/>
    <mergeCell ref="AD11:AD12"/>
    <mergeCell ref="AE11:AE12"/>
    <mergeCell ref="AF11:AF12"/>
    <mergeCell ref="AH11:AH12"/>
    <mergeCell ref="AI11:AI12"/>
    <mergeCell ref="AC6:AF6"/>
    <mergeCell ref="AG6:AG7"/>
    <mergeCell ref="AH6:AH7"/>
    <mergeCell ref="AI6:AI7"/>
    <mergeCell ref="A9:A10"/>
    <mergeCell ref="I9:I10"/>
    <mergeCell ref="K9:K10"/>
    <mergeCell ref="M9:M10"/>
    <mergeCell ref="AH9:AH10"/>
    <mergeCell ref="AI9:AI10"/>
    <mergeCell ref="W6:W7"/>
    <mergeCell ref="X6:X7"/>
    <mergeCell ref="Y6:Y7"/>
    <mergeCell ref="Z6:Z7"/>
    <mergeCell ref="AA6:AA7"/>
    <mergeCell ref="AB6:AB7"/>
    <mergeCell ref="R6:V7"/>
    <mergeCell ref="A1:AI1"/>
    <mergeCell ref="A2:AI2"/>
    <mergeCell ref="A3:AI3"/>
    <mergeCell ref="A4:AI4"/>
    <mergeCell ref="AG5:AH5"/>
    <mergeCell ref="A6:A7"/>
    <mergeCell ref="H6:H7"/>
    <mergeCell ref="I6:I7"/>
    <mergeCell ref="K6:K7"/>
    <mergeCell ref="L6:L7"/>
    <mergeCell ref="M6:M7"/>
    <mergeCell ref="N6:N7"/>
    <mergeCell ref="O6:O7"/>
    <mergeCell ref="P6:P7"/>
    <mergeCell ref="Q6:Q7"/>
  </mergeCells>
  <pageMargins left="0.27559055118110237" right="0" top="0.19685039370078741" bottom="0.35433070866141736" header="0.19685039370078741" footer="0.19685039370078741"/>
  <pageSetup paperSize="9" scale="80" orientation="landscape" verticalDpi="0" r:id="rId1"/>
  <headerFooter alignWithMargins="0"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4"/>
  <sheetViews>
    <sheetView zoomScale="115" zoomScaleNormal="115" workbookViewId="0">
      <pane xSplit="10" ySplit="7" topLeftCell="K8" activePane="bottomRight" state="frozen"/>
      <selection pane="topRight" activeCell="K1" sqref="K1"/>
      <selection pane="bottomLeft" activeCell="A9" sqref="A9"/>
      <selection pane="bottomRight" activeCell="X6" sqref="X6:X7"/>
    </sheetView>
  </sheetViews>
  <sheetFormatPr defaultColWidth="9.140625" defaultRowHeight="20.25" customHeight="1" x14ac:dyDescent="0.3"/>
  <cols>
    <col min="1" max="1" width="3.7109375" style="375" customWidth="1"/>
    <col min="2" max="2" width="10.28515625" style="376" hidden="1" customWidth="1"/>
    <col min="3" max="3" width="9.7109375" style="375" hidden="1" customWidth="1"/>
    <col min="4" max="4" width="12.140625" style="376" hidden="1" customWidth="1"/>
    <col min="5" max="5" width="10.85546875" style="377" hidden="1" customWidth="1"/>
    <col min="6" max="6" width="10.7109375" style="376" hidden="1" customWidth="1"/>
    <col min="7" max="8" width="2.42578125" style="378" hidden="1" customWidth="1"/>
    <col min="9" max="9" width="15.140625" style="379" customWidth="1"/>
    <col min="10" max="10" width="1.42578125" style="378" hidden="1" customWidth="1"/>
    <col min="11" max="11" width="6.140625" style="378" customWidth="1"/>
    <col min="12" max="12" width="4.5703125" style="378" customWidth="1"/>
    <col min="13" max="13" width="4.42578125" style="378" customWidth="1"/>
    <col min="14" max="14" width="5.5703125" style="378" customWidth="1"/>
    <col min="15" max="15" width="6.140625" style="380" customWidth="1"/>
    <col min="16" max="16" width="8" style="380" customWidth="1"/>
    <col min="17" max="17" width="10.140625" style="380" customWidth="1"/>
    <col min="18" max="18" width="8.85546875" style="378" customWidth="1"/>
    <col min="19" max="19" width="4.7109375" style="378" hidden="1" customWidth="1"/>
    <col min="20" max="20" width="3.7109375" style="378" hidden="1" customWidth="1"/>
    <col min="21" max="21" width="4.5703125" style="378" hidden="1" customWidth="1"/>
    <col min="22" max="22" width="12.5703125" style="378" hidden="1" customWidth="1"/>
    <col min="23" max="23" width="9.42578125" style="369" customWidth="1"/>
    <col min="24" max="24" width="8.85546875" style="378" customWidth="1"/>
    <col min="25" max="25" width="9.42578125" style="378" customWidth="1"/>
    <col min="26" max="26" width="8.28515625" style="378" customWidth="1"/>
    <col min="27" max="27" width="9.28515625" style="378" customWidth="1"/>
    <col min="28" max="28" width="8.7109375" style="378" customWidth="1"/>
    <col min="29" max="31" width="5.28515625" style="378" customWidth="1"/>
    <col min="32" max="32" width="8.42578125" style="378" customWidth="1"/>
    <col min="33" max="33" width="11.42578125" style="369" customWidth="1"/>
    <col min="34" max="34" width="13.28515625" style="380" customWidth="1"/>
    <col min="35" max="35" width="11.140625" style="378" customWidth="1"/>
    <col min="36" max="37" width="13.42578125" style="378" customWidth="1"/>
    <col min="38" max="38" width="18" style="383" customWidth="1"/>
    <col min="39" max="39" width="13.42578125" style="384" customWidth="1"/>
    <col min="40" max="40" width="13.42578125" style="383" customWidth="1"/>
    <col min="41" max="41" width="9.140625" style="385"/>
    <col min="42" max="42" width="21.28515625" style="386" customWidth="1"/>
    <col min="43" max="43" width="13.28515625" style="376" customWidth="1"/>
    <col min="44" max="16384" width="9.140625" style="376"/>
  </cols>
  <sheetData>
    <row r="1" spans="1:58" s="259" customFormat="1" ht="18" customHeight="1" x14ac:dyDescent="0.3">
      <c r="A1" s="542" t="s">
        <v>479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542"/>
      <c r="O1" s="542"/>
      <c r="P1" s="542"/>
      <c r="Q1" s="542"/>
      <c r="R1" s="542"/>
      <c r="S1" s="542"/>
      <c r="T1" s="542"/>
      <c r="U1" s="542"/>
      <c r="V1" s="542"/>
      <c r="W1" s="542"/>
      <c r="X1" s="542"/>
      <c r="Y1" s="542"/>
      <c r="Z1" s="542"/>
      <c r="AA1" s="542"/>
      <c r="AB1" s="542"/>
      <c r="AC1" s="542"/>
      <c r="AD1" s="542"/>
      <c r="AE1" s="542"/>
      <c r="AF1" s="542"/>
      <c r="AG1" s="542"/>
      <c r="AH1" s="542"/>
      <c r="AI1" s="542"/>
      <c r="AJ1" s="387"/>
      <c r="AK1" s="387"/>
      <c r="AL1" s="388"/>
      <c r="AM1" s="387"/>
      <c r="AN1" s="388"/>
      <c r="AO1" s="372"/>
      <c r="AP1" s="373"/>
      <c r="AQ1" s="389"/>
      <c r="AR1" s="389"/>
      <c r="AS1" s="389"/>
      <c r="AT1" s="389"/>
      <c r="AU1" s="389"/>
      <c r="AV1" s="389"/>
      <c r="AW1" s="258"/>
      <c r="AX1" s="258"/>
      <c r="AY1" s="258"/>
      <c r="AZ1" s="258"/>
      <c r="BA1" s="258"/>
      <c r="BB1" s="258"/>
      <c r="BC1" s="258"/>
      <c r="BD1" s="258"/>
      <c r="BE1" s="258"/>
      <c r="BF1" s="258"/>
    </row>
    <row r="2" spans="1:58" s="259" customFormat="1" ht="16.5" customHeight="1" x14ac:dyDescent="0.25">
      <c r="A2" s="481" t="s">
        <v>425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260"/>
      <c r="AK2" s="260"/>
      <c r="AL2" s="261"/>
      <c r="AM2" s="260"/>
      <c r="AN2" s="261"/>
      <c r="AO2" s="262"/>
      <c r="AP2" s="263"/>
      <c r="AQ2" s="258"/>
      <c r="AR2" s="258"/>
      <c r="AS2" s="258"/>
      <c r="AT2" s="258"/>
      <c r="AU2" s="258"/>
      <c r="AV2" s="258"/>
      <c r="AW2" s="258"/>
      <c r="AX2" s="258"/>
      <c r="AY2" s="258"/>
      <c r="AZ2" s="258"/>
      <c r="BA2" s="258"/>
      <c r="BB2" s="258"/>
      <c r="BC2" s="258"/>
      <c r="BD2" s="258"/>
      <c r="BE2" s="258"/>
      <c r="BF2" s="258"/>
    </row>
    <row r="3" spans="1:58" s="259" customFormat="1" ht="14.25" customHeight="1" x14ac:dyDescent="0.25">
      <c r="A3" s="482" t="s">
        <v>426</v>
      </c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  <c r="M3" s="482"/>
      <c r="N3" s="482"/>
      <c r="O3" s="482"/>
      <c r="P3" s="482"/>
      <c r="Q3" s="482"/>
      <c r="R3" s="482"/>
      <c r="S3" s="482"/>
      <c r="T3" s="482"/>
      <c r="U3" s="482"/>
      <c r="V3" s="482"/>
      <c r="W3" s="482"/>
      <c r="X3" s="482"/>
      <c r="Y3" s="482"/>
      <c r="Z3" s="482"/>
      <c r="AA3" s="482"/>
      <c r="AB3" s="482"/>
      <c r="AC3" s="482"/>
      <c r="AD3" s="482"/>
      <c r="AE3" s="482"/>
      <c r="AF3" s="482"/>
      <c r="AG3" s="482"/>
      <c r="AH3" s="482"/>
      <c r="AI3" s="482"/>
      <c r="AJ3" s="264"/>
      <c r="AK3" s="264"/>
      <c r="AL3" s="265"/>
      <c r="AM3" s="264"/>
      <c r="AN3" s="265"/>
      <c r="AO3" s="262"/>
      <c r="AP3" s="263"/>
      <c r="AQ3" s="258"/>
      <c r="AR3" s="258"/>
      <c r="AS3" s="258"/>
      <c r="AT3" s="258"/>
      <c r="AU3" s="258"/>
      <c r="AV3" s="258"/>
      <c r="AW3" s="258"/>
      <c r="AX3" s="258"/>
      <c r="AY3" s="258"/>
      <c r="AZ3" s="258"/>
      <c r="BA3" s="258"/>
      <c r="BB3" s="258"/>
      <c r="BC3" s="258"/>
      <c r="BD3" s="258"/>
      <c r="BE3" s="258"/>
      <c r="BF3" s="258"/>
    </row>
    <row r="4" spans="1:58" s="259" customFormat="1" ht="18" customHeight="1" x14ac:dyDescent="0.3">
      <c r="A4" s="543" t="s">
        <v>480</v>
      </c>
      <c r="B4" s="543"/>
      <c r="C4" s="543"/>
      <c r="D4" s="543"/>
      <c r="E4" s="543"/>
      <c r="F4" s="543"/>
      <c r="G4" s="543"/>
      <c r="H4" s="543"/>
      <c r="I4" s="543"/>
      <c r="J4" s="543"/>
      <c r="K4" s="543"/>
      <c r="L4" s="543"/>
      <c r="M4" s="543"/>
      <c r="N4" s="543"/>
      <c r="O4" s="543"/>
      <c r="P4" s="543"/>
      <c r="Q4" s="543"/>
      <c r="R4" s="543"/>
      <c r="S4" s="543"/>
      <c r="T4" s="543"/>
      <c r="U4" s="543"/>
      <c r="V4" s="543"/>
      <c r="W4" s="543"/>
      <c r="X4" s="543"/>
      <c r="Y4" s="543"/>
      <c r="Z4" s="543"/>
      <c r="AA4" s="543"/>
      <c r="AB4" s="543"/>
      <c r="AC4" s="543"/>
      <c r="AD4" s="543"/>
      <c r="AE4" s="543"/>
      <c r="AF4" s="543"/>
      <c r="AG4" s="543"/>
      <c r="AH4" s="543"/>
      <c r="AI4" s="543"/>
      <c r="AJ4" s="390"/>
      <c r="AK4" s="390"/>
      <c r="AL4" s="391"/>
      <c r="AM4" s="392"/>
      <c r="AN4" s="391"/>
      <c r="AO4" s="262"/>
      <c r="AP4" s="263"/>
      <c r="AQ4" s="258"/>
      <c r="AR4" s="258"/>
      <c r="AS4" s="258"/>
      <c r="AT4" s="258"/>
      <c r="AU4" s="258"/>
      <c r="AV4" s="258"/>
      <c r="AW4" s="258"/>
      <c r="AX4" s="258"/>
      <c r="AY4" s="258"/>
      <c r="AZ4" s="258"/>
      <c r="BA4" s="258"/>
      <c r="BB4" s="258"/>
      <c r="BC4" s="258"/>
      <c r="BD4" s="258"/>
      <c r="BE4" s="258"/>
      <c r="BF4" s="258"/>
    </row>
    <row r="5" spans="1:58" s="259" customFormat="1" ht="14.25" customHeight="1" x14ac:dyDescent="0.3">
      <c r="A5" s="393"/>
      <c r="B5" s="393"/>
      <c r="C5" s="393"/>
      <c r="D5" s="393"/>
      <c r="E5" s="393"/>
      <c r="F5" s="393"/>
      <c r="G5" s="393"/>
      <c r="H5" s="393"/>
      <c r="I5" s="393"/>
      <c r="J5" s="393"/>
      <c r="K5" s="393"/>
      <c r="L5" s="393"/>
      <c r="M5" s="393"/>
      <c r="N5" s="393"/>
      <c r="O5" s="394"/>
      <c r="P5" s="394"/>
      <c r="Q5" s="393"/>
      <c r="R5" s="393"/>
      <c r="S5" s="393"/>
      <c r="T5" s="393"/>
      <c r="U5" s="393"/>
      <c r="V5" s="393"/>
      <c r="W5" s="395"/>
      <c r="X5" s="393"/>
      <c r="Y5" s="393"/>
      <c r="Z5" s="393"/>
      <c r="AA5" s="393"/>
      <c r="AB5" s="393"/>
      <c r="AC5" s="393"/>
      <c r="AD5" s="393"/>
      <c r="AE5" s="393"/>
      <c r="AF5" s="393"/>
      <c r="AG5" s="544" t="s">
        <v>428</v>
      </c>
      <c r="AH5" s="544"/>
      <c r="AI5" s="396"/>
      <c r="AJ5" s="393"/>
      <c r="AK5" s="393"/>
      <c r="AL5" s="391"/>
      <c r="AM5" s="392"/>
      <c r="AN5" s="391"/>
      <c r="AO5" s="262"/>
      <c r="AP5" s="263"/>
      <c r="AQ5" s="258"/>
      <c r="AR5" s="258"/>
      <c r="AS5" s="258"/>
      <c r="AT5" s="258"/>
      <c r="AU5" s="258"/>
      <c r="AV5" s="258"/>
      <c r="AW5" s="258"/>
      <c r="AX5" s="258"/>
      <c r="AY5" s="258"/>
      <c r="AZ5" s="258"/>
      <c r="BA5" s="258"/>
      <c r="BB5" s="258"/>
      <c r="BC5" s="258"/>
      <c r="BD5" s="258"/>
      <c r="BE5" s="258"/>
      <c r="BF5" s="258"/>
    </row>
    <row r="6" spans="1:58" s="284" customFormat="1" ht="35.25" customHeight="1" x14ac:dyDescent="0.3">
      <c r="A6" s="485" t="s">
        <v>429</v>
      </c>
      <c r="B6" s="273" t="s">
        <v>429</v>
      </c>
      <c r="C6" s="274" t="s">
        <v>430</v>
      </c>
      <c r="D6" s="274" t="s">
        <v>431</v>
      </c>
      <c r="E6" s="277" t="s">
        <v>432</v>
      </c>
      <c r="F6" s="274" t="s">
        <v>433</v>
      </c>
      <c r="G6" s="277" t="s">
        <v>434</v>
      </c>
      <c r="H6" s="485" t="s">
        <v>429</v>
      </c>
      <c r="I6" s="486" t="s">
        <v>435</v>
      </c>
      <c r="J6" s="276"/>
      <c r="K6" s="486" t="s">
        <v>436</v>
      </c>
      <c r="L6" s="486" t="s">
        <v>437</v>
      </c>
      <c r="M6" s="486" t="s">
        <v>438</v>
      </c>
      <c r="N6" s="486" t="s">
        <v>433</v>
      </c>
      <c r="O6" s="486" t="s">
        <v>439</v>
      </c>
      <c r="P6" s="488" t="s">
        <v>440</v>
      </c>
      <c r="Q6" s="485" t="s">
        <v>441</v>
      </c>
      <c r="R6" s="489" t="s">
        <v>442</v>
      </c>
      <c r="S6" s="490"/>
      <c r="T6" s="490"/>
      <c r="U6" s="490"/>
      <c r="V6" s="491"/>
      <c r="W6" s="504" t="s">
        <v>443</v>
      </c>
      <c r="X6" s="488" t="s">
        <v>444</v>
      </c>
      <c r="Y6" s="488" t="s">
        <v>445</v>
      </c>
      <c r="Z6" s="488" t="s">
        <v>446</v>
      </c>
      <c r="AA6" s="488" t="s">
        <v>447</v>
      </c>
      <c r="AB6" s="488" t="s">
        <v>448</v>
      </c>
      <c r="AC6" s="489" t="s">
        <v>449</v>
      </c>
      <c r="AD6" s="490"/>
      <c r="AE6" s="490"/>
      <c r="AF6" s="491"/>
      <c r="AG6" s="492" t="s">
        <v>450</v>
      </c>
      <c r="AH6" s="488" t="s">
        <v>451</v>
      </c>
      <c r="AI6" s="488" t="s">
        <v>452</v>
      </c>
      <c r="AJ6" s="278"/>
      <c r="AK6" s="278"/>
      <c r="AL6" s="279"/>
      <c r="AM6" s="280"/>
      <c r="AN6" s="279"/>
      <c r="AO6" s="281"/>
      <c r="AP6" s="282"/>
      <c r="AQ6" s="283"/>
      <c r="AR6" s="283"/>
      <c r="AS6" s="283"/>
      <c r="AT6" s="283"/>
      <c r="AU6" s="283"/>
      <c r="AV6" s="283"/>
      <c r="AW6" s="283"/>
      <c r="AX6" s="283"/>
      <c r="AY6" s="283"/>
      <c r="AZ6" s="283"/>
      <c r="BA6" s="283"/>
      <c r="BB6" s="283"/>
      <c r="BC6" s="283"/>
      <c r="BD6" s="283"/>
      <c r="BE6" s="283"/>
      <c r="BF6" s="283"/>
    </row>
    <row r="7" spans="1:58" s="291" customFormat="1" ht="100.5" customHeight="1" x14ac:dyDescent="0.2">
      <c r="A7" s="485"/>
      <c r="B7" s="273"/>
      <c r="C7" s="274"/>
      <c r="D7" s="274"/>
      <c r="E7" s="277"/>
      <c r="F7" s="274"/>
      <c r="G7" s="277"/>
      <c r="H7" s="485"/>
      <c r="I7" s="487"/>
      <c r="J7" s="285"/>
      <c r="K7" s="487"/>
      <c r="L7" s="487"/>
      <c r="M7" s="487"/>
      <c r="N7" s="487"/>
      <c r="O7" s="487"/>
      <c r="P7" s="488"/>
      <c r="Q7" s="485"/>
      <c r="R7" s="539"/>
      <c r="S7" s="540"/>
      <c r="T7" s="540"/>
      <c r="U7" s="540"/>
      <c r="V7" s="541"/>
      <c r="W7" s="504"/>
      <c r="X7" s="488"/>
      <c r="Y7" s="488"/>
      <c r="Z7" s="488"/>
      <c r="AA7" s="488"/>
      <c r="AB7" s="488"/>
      <c r="AC7" s="397" t="s">
        <v>453</v>
      </c>
      <c r="AD7" s="398" t="s">
        <v>483</v>
      </c>
      <c r="AE7" s="397" t="s">
        <v>455</v>
      </c>
      <c r="AF7" s="397" t="s">
        <v>456</v>
      </c>
      <c r="AG7" s="493"/>
      <c r="AH7" s="488"/>
      <c r="AI7" s="488"/>
      <c r="AJ7" s="288" t="s">
        <v>457</v>
      </c>
      <c r="AK7" s="288" t="s">
        <v>458</v>
      </c>
      <c r="AL7" s="279"/>
      <c r="AM7" s="280"/>
      <c r="AN7" s="279"/>
      <c r="AO7" s="289"/>
      <c r="AP7" s="289"/>
      <c r="AQ7" s="290"/>
      <c r="AR7" s="290"/>
      <c r="AS7" s="290"/>
      <c r="AT7" s="290"/>
      <c r="AU7" s="290"/>
      <c r="AV7" s="290"/>
      <c r="AW7" s="290"/>
      <c r="AX7" s="290"/>
      <c r="AY7" s="290"/>
      <c r="AZ7" s="290"/>
      <c r="BA7" s="290"/>
      <c r="BB7" s="290"/>
      <c r="BC7" s="290"/>
      <c r="BD7" s="290"/>
      <c r="BE7" s="290"/>
      <c r="BF7" s="290"/>
    </row>
    <row r="8" spans="1:58" s="418" customFormat="1" ht="50.25" customHeight="1" x14ac:dyDescent="0.25">
      <c r="A8" s="399">
        <v>1</v>
      </c>
      <c r="B8" s="400"/>
      <c r="C8" s="400"/>
      <c r="D8" s="401"/>
      <c r="E8" s="402"/>
      <c r="F8" s="401"/>
      <c r="G8" s="403"/>
      <c r="H8" s="399">
        <v>11</v>
      </c>
      <c r="I8" s="404" t="s">
        <v>459</v>
      </c>
      <c r="J8" s="405"/>
      <c r="K8" s="405" t="s">
        <v>460</v>
      </c>
      <c r="L8" s="405">
        <v>31</v>
      </c>
      <c r="M8" s="405">
        <v>14</v>
      </c>
      <c r="N8" s="405" t="s">
        <v>242</v>
      </c>
      <c r="O8" s="406">
        <v>241.3</v>
      </c>
      <c r="P8" s="407">
        <f>10700000*0.7</f>
        <v>7489999.9999999991</v>
      </c>
      <c r="Q8" s="301">
        <f>ROUND(O8*P8,-3)</f>
        <v>1807337000</v>
      </c>
      <c r="R8" s="408"/>
      <c r="S8" s="408"/>
      <c r="T8" s="408"/>
      <c r="U8" s="408"/>
      <c r="V8" s="408"/>
      <c r="W8" s="408"/>
      <c r="X8" s="408">
        <v>11194000</v>
      </c>
      <c r="Y8" s="408">
        <v>895620000</v>
      </c>
      <c r="Z8" s="408">
        <v>15000000</v>
      </c>
      <c r="AA8" s="408"/>
      <c r="AB8" s="408">
        <v>54000000</v>
      </c>
      <c r="AC8" s="409"/>
      <c r="AD8" s="410"/>
      <c r="AE8" s="409"/>
      <c r="AF8" s="408"/>
      <c r="AG8" s="411">
        <v>30000000</v>
      </c>
      <c r="AH8" s="333">
        <f>Q8+R8+W8+X8+Y8+Z8+AA8+AB8+AF8+AG8</f>
        <v>2813151000</v>
      </c>
      <c r="AI8" s="412" t="s">
        <v>461</v>
      </c>
      <c r="AJ8" s="413"/>
      <c r="AK8" s="413"/>
      <c r="AL8" s="309"/>
      <c r="AM8" s="414"/>
      <c r="AN8" s="415"/>
      <c r="AO8" s="416"/>
      <c r="AP8" s="417"/>
    </row>
    <row r="9" spans="1:58" s="327" customFormat="1" ht="26.45" customHeight="1" x14ac:dyDescent="0.3">
      <c r="A9" s="494">
        <v>2</v>
      </c>
      <c r="B9" s="315"/>
      <c r="C9" s="316"/>
      <c r="D9" s="316"/>
      <c r="E9" s="317"/>
      <c r="F9" s="316"/>
      <c r="G9" s="318"/>
      <c r="H9" s="316">
        <v>2</v>
      </c>
      <c r="I9" s="496" t="s">
        <v>462</v>
      </c>
      <c r="J9" s="319" t="s">
        <v>463</v>
      </c>
      <c r="K9" s="527" t="s">
        <v>460</v>
      </c>
      <c r="L9" s="405">
        <v>26</v>
      </c>
      <c r="M9" s="527">
        <v>14</v>
      </c>
      <c r="N9" s="320" t="s">
        <v>242</v>
      </c>
      <c r="O9" s="321">
        <v>15.3</v>
      </c>
      <c r="P9" s="301">
        <v>2400000</v>
      </c>
      <c r="Q9" s="301">
        <f>ROUND(O9*P9,-3)</f>
        <v>36720000</v>
      </c>
      <c r="R9" s="408"/>
      <c r="S9" s="301"/>
      <c r="T9" s="301"/>
      <c r="U9" s="301"/>
      <c r="V9" s="301"/>
      <c r="W9" s="408"/>
      <c r="X9" s="301">
        <v>770000</v>
      </c>
      <c r="Y9" s="301">
        <v>64475000</v>
      </c>
      <c r="Z9" s="408"/>
      <c r="AA9" s="408"/>
      <c r="AB9" s="408"/>
      <c r="AC9" s="409"/>
      <c r="AD9" s="410"/>
      <c r="AE9" s="409"/>
      <c r="AF9" s="301"/>
      <c r="AG9" s="333">
        <f>500000*O9</f>
        <v>7650000</v>
      </c>
      <c r="AH9" s="500">
        <f>Q9+Q10+R10+W10+X9+Y9+AF10+AG9+AG10</f>
        <v>207565000</v>
      </c>
      <c r="AI9" s="502"/>
      <c r="AJ9" s="322"/>
      <c r="AK9" s="322"/>
      <c r="AL9" s="309"/>
      <c r="AM9" s="323"/>
      <c r="AN9" s="309"/>
      <c r="AO9" s="324"/>
      <c r="AP9" s="325"/>
      <c r="AQ9" s="326"/>
      <c r="AR9" s="326"/>
      <c r="AS9" s="326"/>
      <c r="AT9" s="326"/>
      <c r="AU9" s="326"/>
      <c r="AV9" s="326"/>
      <c r="AW9" s="326"/>
      <c r="AX9" s="326"/>
      <c r="AY9" s="326"/>
      <c r="AZ9" s="326"/>
      <c r="BA9" s="326"/>
      <c r="BB9" s="326"/>
      <c r="BC9" s="326"/>
      <c r="BD9" s="326"/>
      <c r="BE9" s="326"/>
      <c r="BF9" s="326"/>
    </row>
    <row r="10" spans="1:58" s="327" customFormat="1" ht="26.45" customHeight="1" x14ac:dyDescent="0.3">
      <c r="A10" s="495"/>
      <c r="B10" s="315"/>
      <c r="C10" s="316"/>
      <c r="D10" s="316"/>
      <c r="E10" s="317"/>
      <c r="F10" s="316"/>
      <c r="G10" s="318"/>
      <c r="H10" s="316"/>
      <c r="I10" s="497"/>
      <c r="J10" s="319"/>
      <c r="K10" s="528"/>
      <c r="L10" s="405">
        <v>25</v>
      </c>
      <c r="M10" s="528"/>
      <c r="N10" s="320" t="s">
        <v>60</v>
      </c>
      <c r="O10" s="321">
        <v>53.5</v>
      </c>
      <c r="P10" s="301">
        <v>85000</v>
      </c>
      <c r="Q10" s="301">
        <f>ROUND(O10*P10*1.5,-3)</f>
        <v>6821000</v>
      </c>
      <c r="R10" s="408">
        <f>ROUND(O10*255000,-3)</f>
        <v>13643000</v>
      </c>
      <c r="S10" s="301"/>
      <c r="T10" s="301"/>
      <c r="U10" s="301"/>
      <c r="V10" s="301"/>
      <c r="W10" s="408">
        <f>ROUND(O10*1323000,-3)</f>
        <v>70781000</v>
      </c>
      <c r="X10" s="301"/>
      <c r="Y10" s="301"/>
      <c r="Z10" s="408"/>
      <c r="AA10" s="408"/>
      <c r="AB10" s="408"/>
      <c r="AC10" s="409">
        <v>5</v>
      </c>
      <c r="AD10" s="410">
        <v>1.58</v>
      </c>
      <c r="AE10" s="409">
        <v>2</v>
      </c>
      <c r="AF10" s="301">
        <f>5*30*17000*2</f>
        <v>5100000</v>
      </c>
      <c r="AG10" s="333">
        <f>O10*30000</f>
        <v>1605000</v>
      </c>
      <c r="AH10" s="501"/>
      <c r="AI10" s="503"/>
      <c r="AJ10" s="322">
        <v>3377</v>
      </c>
      <c r="AK10" s="330">
        <v>1.584246372519988</v>
      </c>
      <c r="AL10" s="309"/>
      <c r="AM10" s="323"/>
      <c r="AN10" s="309"/>
      <c r="AO10" s="324"/>
      <c r="AP10" s="325"/>
      <c r="AQ10" s="326"/>
      <c r="AR10" s="326"/>
      <c r="AS10" s="326"/>
      <c r="AT10" s="326"/>
      <c r="AU10" s="326"/>
      <c r="AV10" s="326"/>
      <c r="AW10" s="326"/>
      <c r="AX10" s="326"/>
      <c r="AY10" s="326"/>
      <c r="AZ10" s="326"/>
      <c r="BA10" s="326"/>
      <c r="BB10" s="326"/>
      <c r="BC10" s="326"/>
      <c r="BD10" s="326"/>
      <c r="BE10" s="326"/>
      <c r="BF10" s="326"/>
    </row>
    <row r="11" spans="1:58" s="418" customFormat="1" ht="27" customHeight="1" x14ac:dyDescent="0.25">
      <c r="A11" s="524">
        <v>3</v>
      </c>
      <c r="B11" s="400">
        <v>147</v>
      </c>
      <c r="C11" s="400">
        <v>21</v>
      </c>
      <c r="D11" s="401">
        <v>160</v>
      </c>
      <c r="E11" s="402">
        <v>621.1</v>
      </c>
      <c r="F11" s="401" t="s">
        <v>464</v>
      </c>
      <c r="G11" s="403"/>
      <c r="H11" s="524">
        <v>3</v>
      </c>
      <c r="I11" s="525" t="s">
        <v>465</v>
      </c>
      <c r="J11" s="405" t="s">
        <v>466</v>
      </c>
      <c r="K11" s="527" t="s">
        <v>460</v>
      </c>
      <c r="L11" s="405">
        <v>23</v>
      </c>
      <c r="M11" s="527">
        <v>14</v>
      </c>
      <c r="N11" s="405" t="s">
        <v>240</v>
      </c>
      <c r="O11" s="406">
        <v>212.1</v>
      </c>
      <c r="P11" s="407">
        <v>75000</v>
      </c>
      <c r="Q11" s="301">
        <f t="shared" ref="Q11:Q19" si="0">ROUND(O11*P11,-3)</f>
        <v>15908000</v>
      </c>
      <c r="R11" s="408">
        <f>ROUND(O11*225000,-3)</f>
        <v>47723000</v>
      </c>
      <c r="S11" s="408"/>
      <c r="T11" s="408"/>
      <c r="U11" s="408"/>
      <c r="V11" s="408"/>
      <c r="W11" s="408"/>
      <c r="X11" s="408">
        <v>810000</v>
      </c>
      <c r="Y11" s="408">
        <v>75042000</v>
      </c>
      <c r="Z11" s="408"/>
      <c r="AA11" s="408"/>
      <c r="AB11" s="408"/>
      <c r="AC11" s="533">
        <v>3</v>
      </c>
      <c r="AD11" s="531">
        <v>25.57</v>
      </c>
      <c r="AE11" s="533">
        <v>5</v>
      </c>
      <c r="AF11" s="535">
        <f>3*30*17000*5</f>
        <v>7650000</v>
      </c>
      <c r="AG11" s="333">
        <f t="shared" ref="AG11:AG13" si="1">O11*30000</f>
        <v>6363000</v>
      </c>
      <c r="AH11" s="515">
        <f>Q11+Q12+R11+R12+W12+X11+Y11+AF11+AG11+AG12</f>
        <v>198967000</v>
      </c>
      <c r="AI11" s="529" t="s">
        <v>467</v>
      </c>
      <c r="AJ11" s="413"/>
      <c r="AK11" s="538">
        <f>238.3/AJ12*100</f>
        <v>25.568669527896997</v>
      </c>
      <c r="AL11" s="419">
        <f t="shared" ref="AL11:AL18" si="2">O11*P11</f>
        <v>15907500</v>
      </c>
      <c r="AM11" s="414"/>
      <c r="AN11" s="415"/>
      <c r="AO11" s="416"/>
      <c r="AP11" s="417"/>
    </row>
    <row r="12" spans="1:58" s="418" customFormat="1" ht="26.25" customHeight="1" x14ac:dyDescent="0.25">
      <c r="A12" s="524"/>
      <c r="B12" s="400"/>
      <c r="C12" s="400"/>
      <c r="D12" s="401"/>
      <c r="E12" s="402"/>
      <c r="F12" s="401"/>
      <c r="G12" s="403"/>
      <c r="H12" s="524"/>
      <c r="I12" s="526"/>
      <c r="J12" s="405"/>
      <c r="K12" s="528"/>
      <c r="L12" s="405">
        <v>22</v>
      </c>
      <c r="M12" s="528"/>
      <c r="N12" s="405" t="s">
        <v>60</v>
      </c>
      <c r="O12" s="406">
        <v>26.2</v>
      </c>
      <c r="P12" s="407">
        <v>85000</v>
      </c>
      <c r="Q12" s="301">
        <f>ROUND(O12*P12*1.5,-3)</f>
        <v>3341000</v>
      </c>
      <c r="R12" s="408">
        <f>ROUND(O12*255000,-3)</f>
        <v>6681000</v>
      </c>
      <c r="S12" s="408"/>
      <c r="T12" s="408"/>
      <c r="U12" s="408"/>
      <c r="V12" s="408"/>
      <c r="W12" s="408">
        <f>ROUND(O12*1323000,-3)</f>
        <v>34663000</v>
      </c>
      <c r="X12" s="408"/>
      <c r="Y12" s="408"/>
      <c r="Z12" s="408"/>
      <c r="AA12" s="408"/>
      <c r="AC12" s="534"/>
      <c r="AD12" s="532"/>
      <c r="AE12" s="534"/>
      <c r="AF12" s="536"/>
      <c r="AG12" s="333">
        <f t="shared" si="1"/>
        <v>786000</v>
      </c>
      <c r="AH12" s="515"/>
      <c r="AI12" s="537"/>
      <c r="AJ12" s="413">
        <v>932</v>
      </c>
      <c r="AK12" s="538"/>
      <c r="AL12" s="309"/>
      <c r="AM12" s="414"/>
      <c r="AN12" s="415"/>
      <c r="AO12" s="416"/>
      <c r="AP12" s="417"/>
    </row>
    <row r="13" spans="1:58" s="418" customFormat="1" ht="35.1" customHeight="1" x14ac:dyDescent="0.25">
      <c r="A13" s="399">
        <v>4</v>
      </c>
      <c r="B13" s="400"/>
      <c r="C13" s="400"/>
      <c r="D13" s="401"/>
      <c r="E13" s="402"/>
      <c r="F13" s="401"/>
      <c r="G13" s="403"/>
      <c r="H13" s="399">
        <v>5</v>
      </c>
      <c r="I13" s="404" t="s">
        <v>468</v>
      </c>
      <c r="J13" s="405" t="s">
        <v>466</v>
      </c>
      <c r="K13" s="405" t="s">
        <v>460</v>
      </c>
      <c r="L13" s="405">
        <v>19</v>
      </c>
      <c r="M13" s="420">
        <v>14</v>
      </c>
      <c r="N13" s="421" t="s">
        <v>240</v>
      </c>
      <c r="O13" s="406">
        <v>119.6</v>
      </c>
      <c r="P13" s="407">
        <v>75000</v>
      </c>
      <c r="Q13" s="301">
        <f t="shared" si="0"/>
        <v>8970000</v>
      </c>
      <c r="R13" s="408">
        <f>ROUND(O13*225000,-3)</f>
        <v>26910000</v>
      </c>
      <c r="S13" s="408"/>
      <c r="T13" s="408"/>
      <c r="U13" s="408"/>
      <c r="V13" s="408"/>
      <c r="W13" s="408"/>
      <c r="X13" s="408">
        <v>7200000</v>
      </c>
      <c r="Y13" s="408">
        <v>23709000</v>
      </c>
      <c r="Z13" s="408"/>
      <c r="AA13" s="408"/>
      <c r="AB13" s="408"/>
      <c r="AC13" s="409">
        <v>4</v>
      </c>
      <c r="AD13" s="410">
        <v>14.82</v>
      </c>
      <c r="AE13" s="409">
        <v>3</v>
      </c>
      <c r="AF13" s="408">
        <f>4*30*17000*3</f>
        <v>6120000</v>
      </c>
      <c r="AG13" s="333">
        <f t="shared" si="1"/>
        <v>3588000</v>
      </c>
      <c r="AH13" s="333">
        <f>Q13+R13+W13+X13+Y13+Z13+AA13+AB13+AF13+AG13</f>
        <v>76497000</v>
      </c>
      <c r="AI13" s="412"/>
      <c r="AJ13" s="413">
        <v>807</v>
      </c>
      <c r="AK13" s="422">
        <v>14.820322180916975</v>
      </c>
      <c r="AL13" s="309">
        <f t="shared" si="2"/>
        <v>8970000</v>
      </c>
      <c r="AM13" s="414"/>
      <c r="AN13" s="415"/>
      <c r="AO13" s="416"/>
      <c r="AP13" s="417"/>
    </row>
    <row r="14" spans="1:58" s="327" customFormat="1" ht="35.1" customHeight="1" x14ac:dyDescent="0.3">
      <c r="A14" s="341">
        <v>5</v>
      </c>
      <c r="B14" s="315"/>
      <c r="C14" s="316"/>
      <c r="D14" s="316"/>
      <c r="E14" s="317"/>
      <c r="F14" s="316"/>
      <c r="G14" s="318"/>
      <c r="H14" s="316">
        <v>2</v>
      </c>
      <c r="I14" s="342" t="s">
        <v>469</v>
      </c>
      <c r="J14" s="319" t="s">
        <v>463</v>
      </c>
      <c r="K14" s="405" t="s">
        <v>460</v>
      </c>
      <c r="L14" s="405">
        <v>18</v>
      </c>
      <c r="M14" s="405">
        <v>14</v>
      </c>
      <c r="N14" s="320" t="s">
        <v>242</v>
      </c>
      <c r="O14" s="321">
        <f>143.9</f>
        <v>143.9</v>
      </c>
      <c r="P14" s="301">
        <v>2400000</v>
      </c>
      <c r="Q14" s="301">
        <f t="shared" si="0"/>
        <v>345360000</v>
      </c>
      <c r="R14" s="408"/>
      <c r="S14" s="301"/>
      <c r="T14" s="301"/>
      <c r="U14" s="301"/>
      <c r="V14" s="301"/>
      <c r="W14" s="408"/>
      <c r="X14" s="301">
        <v>5627000</v>
      </c>
      <c r="Y14" s="301">
        <v>114420000</v>
      </c>
      <c r="Z14" s="408"/>
      <c r="AA14" s="408"/>
      <c r="AB14" s="408"/>
      <c r="AC14" s="409"/>
      <c r="AD14" s="410"/>
      <c r="AE14" s="409"/>
      <c r="AF14" s="301"/>
      <c r="AG14" s="333">
        <v>30000000</v>
      </c>
      <c r="AH14" s="333">
        <f t="shared" ref="AH14:AH15" si="3">Q14+R14+W14+X14+Y14+Z14+AA14+AB14+AF14+AG14</f>
        <v>495407000</v>
      </c>
      <c r="AI14" s="344"/>
      <c r="AJ14" s="322"/>
      <c r="AK14" s="330"/>
      <c r="AL14" s="309"/>
      <c r="AM14" s="323"/>
      <c r="AN14" s="309"/>
      <c r="AO14" s="324"/>
      <c r="AP14" s="325"/>
      <c r="AQ14" s="326"/>
      <c r="AR14" s="326"/>
      <c r="AS14" s="326"/>
      <c r="AT14" s="326"/>
      <c r="AU14" s="326"/>
      <c r="AV14" s="326"/>
      <c r="AW14" s="326"/>
      <c r="AX14" s="326"/>
      <c r="AY14" s="326"/>
      <c r="AZ14" s="326"/>
      <c r="BA14" s="326"/>
      <c r="BB14" s="326"/>
      <c r="BC14" s="326"/>
      <c r="BD14" s="326"/>
      <c r="BE14" s="326"/>
      <c r="BF14" s="326"/>
    </row>
    <row r="15" spans="1:58" s="418" customFormat="1" ht="56.25" x14ac:dyDescent="0.25">
      <c r="A15" s="399">
        <v>6</v>
      </c>
      <c r="B15" s="400"/>
      <c r="C15" s="400"/>
      <c r="D15" s="401"/>
      <c r="E15" s="402"/>
      <c r="F15" s="401"/>
      <c r="G15" s="403"/>
      <c r="H15" s="399">
        <v>5</v>
      </c>
      <c r="I15" s="404" t="s">
        <v>470</v>
      </c>
      <c r="J15" s="405" t="s">
        <v>466</v>
      </c>
      <c r="K15" s="405" t="s">
        <v>460</v>
      </c>
      <c r="L15" s="405">
        <v>24</v>
      </c>
      <c r="M15" s="420">
        <v>14</v>
      </c>
      <c r="N15" s="421" t="s">
        <v>240</v>
      </c>
      <c r="O15" s="406">
        <v>145.6</v>
      </c>
      <c r="P15" s="407">
        <v>75000</v>
      </c>
      <c r="Q15" s="301">
        <f t="shared" si="0"/>
        <v>10920000</v>
      </c>
      <c r="R15" s="408">
        <f>ROUND(O15*225000,-3)</f>
        <v>32760000</v>
      </c>
      <c r="S15" s="408"/>
      <c r="T15" s="408"/>
      <c r="U15" s="408"/>
      <c r="V15" s="408"/>
      <c r="W15" s="408"/>
      <c r="X15" s="423"/>
      <c r="Y15" s="408">
        <v>1840000</v>
      </c>
      <c r="Z15" s="408"/>
      <c r="AA15" s="408"/>
      <c r="AB15" s="408"/>
      <c r="AC15" s="409">
        <v>5</v>
      </c>
      <c r="AD15" s="410">
        <v>10.46</v>
      </c>
      <c r="AE15" s="409">
        <v>3</v>
      </c>
      <c r="AF15" s="408">
        <f>30*17000*5*3</f>
        <v>7650000</v>
      </c>
      <c r="AG15" s="411">
        <f>O15*30000</f>
        <v>4368000</v>
      </c>
      <c r="AH15" s="333">
        <f t="shared" si="3"/>
        <v>57538000</v>
      </c>
      <c r="AI15" s="412" t="s">
        <v>471</v>
      </c>
      <c r="AJ15" s="413">
        <v>1392</v>
      </c>
      <c r="AK15" s="422">
        <v>10.459770114942527</v>
      </c>
      <c r="AL15" s="309">
        <f t="shared" si="2"/>
        <v>10920000</v>
      </c>
      <c r="AM15" s="414"/>
      <c r="AN15" s="415"/>
      <c r="AO15" s="416"/>
      <c r="AP15" s="417"/>
    </row>
    <row r="16" spans="1:58" s="418" customFormat="1" ht="23.1" customHeight="1" x14ac:dyDescent="0.25">
      <c r="A16" s="524">
        <v>7</v>
      </c>
      <c r="B16" s="400">
        <v>147</v>
      </c>
      <c r="C16" s="400">
        <v>21</v>
      </c>
      <c r="D16" s="401">
        <v>160</v>
      </c>
      <c r="E16" s="402">
        <v>621.1</v>
      </c>
      <c r="F16" s="401" t="s">
        <v>464</v>
      </c>
      <c r="G16" s="403"/>
      <c r="H16" s="524">
        <v>3</v>
      </c>
      <c r="I16" s="525" t="s">
        <v>472</v>
      </c>
      <c r="J16" s="405" t="s">
        <v>466</v>
      </c>
      <c r="K16" s="527" t="s">
        <v>460</v>
      </c>
      <c r="L16" s="405">
        <v>13</v>
      </c>
      <c r="M16" s="527">
        <v>14</v>
      </c>
      <c r="N16" s="405" t="s">
        <v>240</v>
      </c>
      <c r="O16" s="406">
        <v>29.7</v>
      </c>
      <c r="P16" s="424">
        <v>75000</v>
      </c>
      <c r="Q16" s="333">
        <f t="shared" si="0"/>
        <v>2228000</v>
      </c>
      <c r="R16" s="411">
        <f>ROUND(O16*225000,-3)</f>
        <v>6683000</v>
      </c>
      <c r="S16" s="411"/>
      <c r="T16" s="411"/>
      <c r="U16" s="411"/>
      <c r="V16" s="411"/>
      <c r="W16" s="411"/>
      <c r="X16" s="411">
        <v>6003000</v>
      </c>
      <c r="Y16" s="411">
        <v>32037000</v>
      </c>
      <c r="Z16" s="411"/>
      <c r="AA16" s="411"/>
      <c r="AB16" s="411"/>
      <c r="AC16" s="425"/>
      <c r="AD16" s="426"/>
      <c r="AE16" s="425"/>
      <c r="AF16" s="408"/>
      <c r="AG16" s="411">
        <f>O16*30000</f>
        <v>891000</v>
      </c>
      <c r="AH16" s="515">
        <f>Q16+Q17+R16+X16+Y16+AF16+AG16+AG17</f>
        <v>414322000</v>
      </c>
      <c r="AI16" s="522" t="s">
        <v>473</v>
      </c>
      <c r="AJ16" s="413"/>
      <c r="AK16" s="422"/>
      <c r="AL16" s="309">
        <f t="shared" si="2"/>
        <v>2227500</v>
      </c>
      <c r="AM16" s="414"/>
      <c r="AN16" s="415"/>
      <c r="AO16" s="416"/>
      <c r="AP16" s="417"/>
    </row>
    <row r="17" spans="1:42" s="418" customFormat="1" ht="23.1" customHeight="1" x14ac:dyDescent="0.25">
      <c r="A17" s="524"/>
      <c r="B17" s="400"/>
      <c r="C17" s="400"/>
      <c r="D17" s="401"/>
      <c r="E17" s="402"/>
      <c r="F17" s="401"/>
      <c r="G17" s="403"/>
      <c r="H17" s="524"/>
      <c r="I17" s="526"/>
      <c r="J17" s="405"/>
      <c r="K17" s="528"/>
      <c r="L17" s="405">
        <v>14</v>
      </c>
      <c r="M17" s="528"/>
      <c r="N17" s="405" t="s">
        <v>242</v>
      </c>
      <c r="O17" s="406">
        <v>140.19999999999999</v>
      </c>
      <c r="P17" s="424">
        <v>2400000</v>
      </c>
      <c r="Q17" s="333">
        <f t="shared" si="0"/>
        <v>336480000</v>
      </c>
      <c r="R17" s="411"/>
      <c r="S17" s="411"/>
      <c r="T17" s="411"/>
      <c r="U17" s="411"/>
      <c r="V17" s="411"/>
      <c r="W17" s="411"/>
      <c r="X17" s="411"/>
      <c r="Y17" s="411"/>
      <c r="Z17" s="411"/>
      <c r="AA17" s="411"/>
      <c r="AB17" s="411"/>
      <c r="AC17" s="425"/>
      <c r="AD17" s="426"/>
      <c r="AE17" s="425"/>
      <c r="AF17" s="408"/>
      <c r="AG17" s="411">
        <v>30000000</v>
      </c>
      <c r="AH17" s="515"/>
      <c r="AI17" s="523"/>
      <c r="AJ17" s="413"/>
      <c r="AK17" s="422"/>
      <c r="AL17" s="309"/>
      <c r="AM17" s="414"/>
      <c r="AN17" s="415"/>
      <c r="AO17" s="416"/>
      <c r="AP17" s="417"/>
    </row>
    <row r="18" spans="1:42" s="418" customFormat="1" ht="26.1" customHeight="1" x14ac:dyDescent="0.25">
      <c r="A18" s="524">
        <v>8</v>
      </c>
      <c r="B18" s="400">
        <v>147</v>
      </c>
      <c r="C18" s="400">
        <v>21</v>
      </c>
      <c r="D18" s="401">
        <v>160</v>
      </c>
      <c r="E18" s="402">
        <v>621.1</v>
      </c>
      <c r="F18" s="401" t="s">
        <v>464</v>
      </c>
      <c r="G18" s="403"/>
      <c r="H18" s="524">
        <v>3</v>
      </c>
      <c r="I18" s="525" t="s">
        <v>474</v>
      </c>
      <c r="J18" s="405" t="s">
        <v>466</v>
      </c>
      <c r="K18" s="527" t="s">
        <v>460</v>
      </c>
      <c r="L18" s="405">
        <v>11</v>
      </c>
      <c r="M18" s="527">
        <v>14</v>
      </c>
      <c r="N18" s="405" t="s">
        <v>240</v>
      </c>
      <c r="O18" s="406">
        <v>119.7</v>
      </c>
      <c r="P18" s="424">
        <v>75000</v>
      </c>
      <c r="Q18" s="333">
        <f t="shared" si="0"/>
        <v>8978000</v>
      </c>
      <c r="R18" s="411">
        <f>ROUND(O18*225000,-3)</f>
        <v>26933000</v>
      </c>
      <c r="S18" s="411"/>
      <c r="T18" s="411"/>
      <c r="U18" s="411"/>
      <c r="V18" s="411"/>
      <c r="W18" s="411"/>
      <c r="X18" s="411">
        <v>6568000</v>
      </c>
      <c r="Y18" s="411">
        <v>146677000</v>
      </c>
      <c r="Z18" s="411"/>
      <c r="AA18" s="411"/>
      <c r="AB18" s="411"/>
      <c r="AC18" s="425">
        <v>8</v>
      </c>
      <c r="AD18" s="426">
        <v>3.44</v>
      </c>
      <c r="AE18" s="425">
        <v>2</v>
      </c>
      <c r="AF18" s="408">
        <f>30*17000*8*2</f>
        <v>8160000</v>
      </c>
      <c r="AG18" s="411">
        <f>O18*30000</f>
        <v>3591000</v>
      </c>
      <c r="AH18" s="515">
        <f>Q18+Q19+R18+X18+Y18+AF18+AG18+AG19</f>
        <v>470487000</v>
      </c>
      <c r="AI18" s="529" t="s">
        <v>475</v>
      </c>
      <c r="AJ18" s="413">
        <v>3483</v>
      </c>
      <c r="AK18" s="422">
        <v>3.4366925064599485</v>
      </c>
      <c r="AL18" s="309">
        <f t="shared" si="2"/>
        <v>8977500</v>
      </c>
      <c r="AM18" s="414"/>
      <c r="AN18" s="415"/>
      <c r="AO18" s="416"/>
      <c r="AP18" s="417"/>
    </row>
    <row r="19" spans="1:42" s="418" customFormat="1" ht="26.1" customHeight="1" x14ac:dyDescent="0.25">
      <c r="A19" s="524"/>
      <c r="B19" s="400"/>
      <c r="C19" s="400"/>
      <c r="D19" s="401"/>
      <c r="E19" s="402"/>
      <c r="F19" s="401"/>
      <c r="G19" s="403"/>
      <c r="H19" s="524"/>
      <c r="I19" s="526"/>
      <c r="J19" s="405"/>
      <c r="K19" s="528"/>
      <c r="L19" s="405">
        <v>12</v>
      </c>
      <c r="M19" s="528"/>
      <c r="N19" s="405" t="s">
        <v>242</v>
      </c>
      <c r="O19" s="406">
        <v>133.1</v>
      </c>
      <c r="P19" s="424">
        <v>1800000</v>
      </c>
      <c r="Q19" s="333">
        <f t="shared" si="0"/>
        <v>239580000</v>
      </c>
      <c r="R19" s="411"/>
      <c r="S19" s="411"/>
      <c r="T19" s="411"/>
      <c r="U19" s="411"/>
      <c r="V19" s="411"/>
      <c r="W19" s="411"/>
      <c r="X19" s="411"/>
      <c r="Y19" s="411"/>
      <c r="Z19" s="411"/>
      <c r="AA19" s="411"/>
      <c r="AB19" s="411"/>
      <c r="AC19" s="425"/>
      <c r="AD19" s="426"/>
      <c r="AE19" s="425"/>
      <c r="AF19" s="408"/>
      <c r="AG19" s="411">
        <v>30000000</v>
      </c>
      <c r="AH19" s="515"/>
      <c r="AI19" s="530"/>
      <c r="AJ19" s="413"/>
      <c r="AK19" s="422"/>
      <c r="AL19" s="309"/>
      <c r="AM19" s="414"/>
      <c r="AN19" s="415"/>
      <c r="AO19" s="416"/>
      <c r="AP19" s="417"/>
    </row>
    <row r="20" spans="1:42" s="418" customFormat="1" ht="29.25" customHeight="1" x14ac:dyDescent="0.25">
      <c r="A20" s="399">
        <v>9</v>
      </c>
      <c r="B20" s="400"/>
      <c r="C20" s="400"/>
      <c r="D20" s="401"/>
      <c r="E20" s="402"/>
      <c r="F20" s="401"/>
      <c r="G20" s="403"/>
      <c r="H20" s="399"/>
      <c r="I20" s="427" t="s">
        <v>476</v>
      </c>
      <c r="J20" s="401"/>
      <c r="K20" s="401"/>
      <c r="L20" s="401">
        <v>2</v>
      </c>
      <c r="M20" s="401">
        <v>26</v>
      </c>
      <c r="N20" s="401" t="s">
        <v>477</v>
      </c>
      <c r="O20" s="402"/>
      <c r="P20" s="424"/>
      <c r="Q20" s="333"/>
      <c r="R20" s="411"/>
      <c r="S20" s="411"/>
      <c r="T20" s="411"/>
      <c r="U20" s="411"/>
      <c r="V20" s="411"/>
      <c r="W20" s="411"/>
      <c r="X20" s="411"/>
      <c r="Y20" s="411"/>
      <c r="Z20" s="411"/>
      <c r="AA20" s="411">
        <v>20000000</v>
      </c>
      <c r="AB20" s="411"/>
      <c r="AC20" s="425"/>
      <c r="AD20" s="426"/>
      <c r="AE20" s="425"/>
      <c r="AF20" s="408"/>
      <c r="AG20" s="411"/>
      <c r="AH20" s="333">
        <v>20000000</v>
      </c>
      <c r="AI20" s="412" t="s">
        <v>421</v>
      </c>
      <c r="AJ20" s="428"/>
      <c r="AK20" s="428"/>
      <c r="AL20" s="415"/>
      <c r="AM20" s="414"/>
      <c r="AN20" s="415"/>
      <c r="AO20" s="416"/>
      <c r="AP20" s="417"/>
    </row>
    <row r="21" spans="1:42" s="366" customFormat="1" ht="29.25" customHeight="1" x14ac:dyDescent="0.2">
      <c r="A21" s="354"/>
      <c r="B21" s="355"/>
      <c r="C21" s="354"/>
      <c r="D21" s="355"/>
      <c r="E21" s="356"/>
      <c r="F21" s="355"/>
      <c r="G21" s="357">
        <f>SUM(G9:G19)</f>
        <v>0</v>
      </c>
      <c r="H21" s="357"/>
      <c r="I21" s="358" t="s">
        <v>254</v>
      </c>
      <c r="J21" s="357">
        <f>SUM(J9:J19)</f>
        <v>0</v>
      </c>
      <c r="K21" s="357"/>
      <c r="L21" s="358"/>
      <c r="M21" s="358"/>
      <c r="N21" s="358"/>
      <c r="O21" s="357">
        <f>SUM(O8:O19)</f>
        <v>1380.2</v>
      </c>
      <c r="P21" s="357"/>
      <c r="Q21" s="359">
        <f>SUM(Q8:Q19)</f>
        <v>2822643000</v>
      </c>
      <c r="R21" s="359">
        <f t="shared" ref="R21:Y21" si="4">SUM(R8:R19)</f>
        <v>161333000</v>
      </c>
      <c r="S21" s="359">
        <f t="shared" si="4"/>
        <v>0</v>
      </c>
      <c r="T21" s="359">
        <f t="shared" si="4"/>
        <v>0</v>
      </c>
      <c r="U21" s="359">
        <f t="shared" si="4"/>
        <v>0</v>
      </c>
      <c r="V21" s="359">
        <f t="shared" si="4"/>
        <v>0</v>
      </c>
      <c r="W21" s="359">
        <f t="shared" si="4"/>
        <v>105444000</v>
      </c>
      <c r="X21" s="359">
        <f t="shared" si="4"/>
        <v>38172000</v>
      </c>
      <c r="Y21" s="359">
        <f t="shared" si="4"/>
        <v>1353820000</v>
      </c>
      <c r="Z21" s="359">
        <f>SUM(Z8:Z19)</f>
        <v>15000000</v>
      </c>
      <c r="AA21" s="359">
        <f>SUM(AA9:AA20)</f>
        <v>20000000</v>
      </c>
      <c r="AB21" s="359">
        <f>SUM(AB8:AB19)</f>
        <v>54000000</v>
      </c>
      <c r="AC21" s="360"/>
      <c r="AD21" s="359"/>
      <c r="AE21" s="360"/>
      <c r="AF21" s="361">
        <f>SUM(AF9:AF20)</f>
        <v>34680000</v>
      </c>
      <c r="AG21" s="359">
        <f>SUM(AG8:AG20)</f>
        <v>148842000</v>
      </c>
      <c r="AH21" s="359">
        <f>SUM(AH8:AH20)</f>
        <v>4753934000</v>
      </c>
      <c r="AI21" s="359"/>
      <c r="AJ21" s="362"/>
      <c r="AK21" s="362"/>
      <c r="AL21" s="362"/>
      <c r="AM21" s="363"/>
      <c r="AN21" s="362"/>
      <c r="AO21" s="364"/>
      <c r="AP21" s="365"/>
    </row>
    <row r="22" spans="1:42" s="366" customFormat="1" ht="29.25" customHeight="1" x14ac:dyDescent="0.2">
      <c r="A22" s="518" t="s">
        <v>481</v>
      </c>
      <c r="B22" s="518"/>
      <c r="C22" s="518"/>
      <c r="D22" s="518"/>
      <c r="E22" s="518"/>
      <c r="F22" s="518"/>
      <c r="G22" s="518"/>
      <c r="H22" s="518"/>
      <c r="I22" s="518"/>
      <c r="J22" s="357"/>
      <c r="K22" s="357"/>
      <c r="L22" s="358"/>
      <c r="M22" s="358"/>
      <c r="N22" s="358"/>
      <c r="O22" s="357"/>
      <c r="P22" s="357"/>
      <c r="Q22" s="359"/>
      <c r="R22" s="359"/>
      <c r="S22" s="359"/>
      <c r="T22" s="359"/>
      <c r="U22" s="359"/>
      <c r="V22" s="359"/>
      <c r="W22" s="359"/>
      <c r="X22" s="359"/>
      <c r="Y22" s="359"/>
      <c r="Z22" s="359"/>
      <c r="AA22" s="359"/>
      <c r="AB22" s="359"/>
      <c r="AC22" s="360"/>
      <c r="AD22" s="359"/>
      <c r="AE22" s="360"/>
      <c r="AF22" s="361"/>
      <c r="AG22" s="359"/>
      <c r="AH22" s="359">
        <v>93499000</v>
      </c>
      <c r="AI22" s="359"/>
      <c r="AJ22" s="362"/>
      <c r="AK22" s="362"/>
      <c r="AL22" s="362"/>
      <c r="AM22" s="363"/>
      <c r="AN22" s="362"/>
      <c r="AO22" s="364"/>
      <c r="AP22" s="365"/>
    </row>
    <row r="23" spans="1:42" s="374" customFormat="1" ht="20.25" customHeight="1" x14ac:dyDescent="0.3">
      <c r="A23" s="518" t="s">
        <v>254</v>
      </c>
      <c r="B23" s="518"/>
      <c r="C23" s="518"/>
      <c r="D23" s="518"/>
      <c r="E23" s="518"/>
      <c r="F23" s="518"/>
      <c r="G23" s="518"/>
      <c r="H23" s="518"/>
      <c r="I23" s="518"/>
      <c r="J23" s="367"/>
      <c r="K23" s="367"/>
      <c r="L23" s="367"/>
      <c r="M23" s="367"/>
      <c r="N23" s="367"/>
      <c r="O23" s="368"/>
      <c r="P23" s="368"/>
      <c r="Q23" s="368"/>
      <c r="R23" s="367"/>
      <c r="S23" s="367"/>
      <c r="T23" s="367"/>
      <c r="U23" s="367"/>
      <c r="V23" s="367"/>
      <c r="W23" s="367"/>
      <c r="X23" s="367"/>
      <c r="Y23" s="367"/>
      <c r="Z23" s="367"/>
      <c r="AA23" s="367"/>
      <c r="AB23" s="367"/>
      <c r="AC23" s="367"/>
      <c r="AD23" s="367"/>
      <c r="AE23" s="367"/>
      <c r="AF23" s="367"/>
      <c r="AG23" s="367"/>
      <c r="AH23" s="359">
        <f>AH21+AH22</f>
        <v>4847433000</v>
      </c>
      <c r="AI23" s="367"/>
      <c r="AJ23" s="369"/>
      <c r="AK23" s="369"/>
      <c r="AL23" s="370"/>
      <c r="AM23" s="371"/>
      <c r="AN23" s="370"/>
      <c r="AO23" s="372"/>
      <c r="AP23" s="373"/>
    </row>
    <row r="24" spans="1:42" ht="20.25" customHeight="1" x14ac:dyDescent="0.3">
      <c r="Q24" s="381">
        <f>Q8+Q19+Q17+Q14+Q9</f>
        <v>2765477000</v>
      </c>
      <c r="AH24" s="382"/>
    </row>
  </sheetData>
  <autoFilter ref="A6:BF21">
    <filterColumn colId="9" showButton="0"/>
    <filterColumn colId="10" hiddenButton="1" showButton="0"/>
    <filterColumn colId="13" showButton="0"/>
  </autoFilter>
  <mergeCells count="60">
    <mergeCell ref="R6:V7"/>
    <mergeCell ref="A1:AI1"/>
    <mergeCell ref="A2:AI2"/>
    <mergeCell ref="A3:AI3"/>
    <mergeCell ref="A4:AI4"/>
    <mergeCell ref="AG5:AH5"/>
    <mergeCell ref="A6:A7"/>
    <mergeCell ref="H6:H7"/>
    <mergeCell ref="I6:I7"/>
    <mergeCell ref="K6:K7"/>
    <mergeCell ref="L6:L7"/>
    <mergeCell ref="M6:M7"/>
    <mergeCell ref="N6:N7"/>
    <mergeCell ref="O6:O7"/>
    <mergeCell ref="P6:P7"/>
    <mergeCell ref="Q6:Q7"/>
    <mergeCell ref="AC6:AF6"/>
    <mergeCell ref="AG6:AG7"/>
    <mergeCell ref="AH6:AH7"/>
    <mergeCell ref="AI6:AI7"/>
    <mergeCell ref="A9:A10"/>
    <mergeCell ref="I9:I10"/>
    <mergeCell ref="K9:K10"/>
    <mergeCell ref="M9:M10"/>
    <mergeCell ref="AH9:AH10"/>
    <mergeCell ref="AI9:AI10"/>
    <mergeCell ref="W6:W7"/>
    <mergeCell ref="X6:X7"/>
    <mergeCell ref="Y6:Y7"/>
    <mergeCell ref="Z6:Z7"/>
    <mergeCell ref="AA6:AA7"/>
    <mergeCell ref="AB6:AB7"/>
    <mergeCell ref="AK11:AK12"/>
    <mergeCell ref="A11:A12"/>
    <mergeCell ref="H11:H12"/>
    <mergeCell ref="I11:I12"/>
    <mergeCell ref="K11:K12"/>
    <mergeCell ref="M11:M12"/>
    <mergeCell ref="AC11:AC12"/>
    <mergeCell ref="AD11:AD12"/>
    <mergeCell ref="AE11:AE12"/>
    <mergeCell ref="AF11:AF12"/>
    <mergeCell ref="AH11:AH12"/>
    <mergeCell ref="AI11:AI12"/>
    <mergeCell ref="A22:I22"/>
    <mergeCell ref="A23:I23"/>
    <mergeCell ref="AI16:AI17"/>
    <mergeCell ref="A18:A19"/>
    <mergeCell ref="H18:H19"/>
    <mergeCell ref="I18:I19"/>
    <mergeCell ref="K18:K19"/>
    <mergeCell ref="M18:M19"/>
    <mergeCell ref="AH18:AH19"/>
    <mergeCell ref="AI18:AI19"/>
    <mergeCell ref="A16:A17"/>
    <mergeCell ref="H16:H17"/>
    <mergeCell ref="I16:I17"/>
    <mergeCell ref="K16:K17"/>
    <mergeCell ref="M16:M17"/>
    <mergeCell ref="AH16:AH17"/>
  </mergeCells>
  <pageMargins left="0.36" right="0" top="0.19685039370078741" bottom="0.35433070866141736" header="0.19685039370078741" footer="0.19685039370078741"/>
  <pageSetup paperSize="9" scale="80" orientation="landscape" verticalDpi="0" r:id="rId1"/>
  <headerFooter alignWithMargins="0"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4"/>
  <sheetViews>
    <sheetView tabSelected="1" zoomScale="115" zoomScaleNormal="115" workbookViewId="0">
      <pane xSplit="10" ySplit="7" topLeftCell="X8" activePane="bottomRight" state="frozen"/>
      <selection pane="topRight" activeCell="K1" sqref="K1"/>
      <selection pane="bottomLeft" activeCell="A9" sqref="A9"/>
      <selection pane="bottomRight" activeCell="AM8" sqref="AM8"/>
    </sheetView>
  </sheetViews>
  <sheetFormatPr defaultColWidth="9.140625" defaultRowHeight="20.25" customHeight="1" x14ac:dyDescent="0.3"/>
  <cols>
    <col min="1" max="1" width="3.7109375" style="375" customWidth="1"/>
    <col min="2" max="2" width="10.28515625" style="376" hidden="1" customWidth="1"/>
    <col min="3" max="3" width="9.7109375" style="375" hidden="1" customWidth="1"/>
    <col min="4" max="4" width="12.140625" style="376" hidden="1" customWidth="1"/>
    <col min="5" max="5" width="10.85546875" style="377" hidden="1" customWidth="1"/>
    <col min="6" max="6" width="10.7109375" style="376" hidden="1" customWidth="1"/>
    <col min="7" max="8" width="2.42578125" style="378" hidden="1" customWidth="1"/>
    <col min="9" max="9" width="15.140625" style="379" customWidth="1"/>
    <col min="10" max="10" width="1.42578125" style="378" hidden="1" customWidth="1"/>
    <col min="11" max="11" width="6.140625" style="378" customWidth="1"/>
    <col min="12" max="12" width="4.5703125" style="378" customWidth="1"/>
    <col min="13" max="13" width="4.42578125" style="378" customWidth="1"/>
    <col min="14" max="14" width="5.5703125" style="378" customWidth="1"/>
    <col min="15" max="15" width="6.140625" style="380" customWidth="1"/>
    <col min="16" max="16" width="8" style="380" customWidth="1"/>
    <col min="17" max="17" width="10.140625" style="380" customWidth="1"/>
    <col min="18" max="18" width="8.85546875" style="378" customWidth="1"/>
    <col min="19" max="19" width="4.7109375" style="378" hidden="1" customWidth="1"/>
    <col min="20" max="20" width="3.7109375" style="378" hidden="1" customWidth="1"/>
    <col min="21" max="21" width="4.5703125" style="378" hidden="1" customWidth="1"/>
    <col min="22" max="22" width="12.5703125" style="378" hidden="1" customWidth="1"/>
    <col min="23" max="23" width="9.42578125" style="369" customWidth="1"/>
    <col min="24" max="24" width="8.85546875" style="378" customWidth="1"/>
    <col min="25" max="25" width="9.42578125" style="378" customWidth="1"/>
    <col min="26" max="26" width="8.28515625" style="378" customWidth="1"/>
    <col min="27" max="27" width="9.28515625" style="378" customWidth="1"/>
    <col min="28" max="28" width="8.7109375" style="378" customWidth="1"/>
    <col min="29" max="31" width="5.28515625" style="378" customWidth="1"/>
    <col min="32" max="32" width="8.42578125" style="378" customWidth="1"/>
    <col min="33" max="33" width="12" style="369" customWidth="1"/>
    <col min="34" max="34" width="13.42578125" style="380" customWidth="1"/>
    <col min="35" max="35" width="11.140625" style="378" customWidth="1"/>
    <col min="36" max="16384" width="9.140625" style="376"/>
  </cols>
  <sheetData>
    <row r="1" spans="1:37" s="259" customFormat="1" ht="18" customHeight="1" x14ac:dyDescent="0.3">
      <c r="A1" s="542" t="s">
        <v>479</v>
      </c>
      <c r="B1" s="542"/>
      <c r="C1" s="542"/>
      <c r="D1" s="542"/>
      <c r="E1" s="542"/>
      <c r="F1" s="542"/>
      <c r="G1" s="542"/>
      <c r="H1" s="542"/>
      <c r="I1" s="542"/>
      <c r="J1" s="542"/>
      <c r="K1" s="542"/>
      <c r="L1" s="542"/>
      <c r="M1" s="542"/>
      <c r="N1" s="542"/>
      <c r="O1" s="542"/>
      <c r="P1" s="542"/>
      <c r="Q1" s="542"/>
      <c r="R1" s="542"/>
      <c r="S1" s="542"/>
      <c r="T1" s="542"/>
      <c r="U1" s="542"/>
      <c r="V1" s="542"/>
      <c r="W1" s="542"/>
      <c r="X1" s="542"/>
      <c r="Y1" s="542"/>
      <c r="Z1" s="542"/>
      <c r="AA1" s="542"/>
      <c r="AB1" s="542"/>
      <c r="AC1" s="542"/>
      <c r="AD1" s="542"/>
      <c r="AE1" s="542"/>
      <c r="AF1" s="542"/>
      <c r="AG1" s="542"/>
      <c r="AH1" s="542"/>
      <c r="AI1" s="542"/>
      <c r="AJ1" s="258"/>
      <c r="AK1" s="258"/>
    </row>
    <row r="2" spans="1:37" s="259" customFormat="1" ht="16.5" customHeight="1" x14ac:dyDescent="0.25">
      <c r="A2" s="481" t="s">
        <v>425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258"/>
      <c r="AK2" s="258"/>
    </row>
    <row r="3" spans="1:37" s="259" customFormat="1" ht="14.25" customHeight="1" x14ac:dyDescent="0.25">
      <c r="A3" s="482" t="s">
        <v>426</v>
      </c>
      <c r="B3" s="482"/>
      <c r="C3" s="482"/>
      <c r="D3" s="482"/>
      <c r="E3" s="482"/>
      <c r="F3" s="482"/>
      <c r="G3" s="482"/>
      <c r="H3" s="482"/>
      <c r="I3" s="482"/>
      <c r="J3" s="482"/>
      <c r="K3" s="482"/>
      <c r="L3" s="482"/>
      <c r="M3" s="482"/>
      <c r="N3" s="482"/>
      <c r="O3" s="482"/>
      <c r="P3" s="482"/>
      <c r="Q3" s="482"/>
      <c r="R3" s="482"/>
      <c r="S3" s="482"/>
      <c r="T3" s="482"/>
      <c r="U3" s="482"/>
      <c r="V3" s="482"/>
      <c r="W3" s="482"/>
      <c r="X3" s="482"/>
      <c r="Y3" s="482"/>
      <c r="Z3" s="482"/>
      <c r="AA3" s="482"/>
      <c r="AB3" s="482"/>
      <c r="AC3" s="482"/>
      <c r="AD3" s="482"/>
      <c r="AE3" s="482"/>
      <c r="AF3" s="482"/>
      <c r="AG3" s="482"/>
      <c r="AH3" s="482"/>
      <c r="AI3" s="482"/>
      <c r="AJ3" s="258"/>
      <c r="AK3" s="258"/>
    </row>
    <row r="4" spans="1:37" s="259" customFormat="1" ht="18" customHeight="1" x14ac:dyDescent="0.25">
      <c r="A4" s="543" t="s">
        <v>482</v>
      </c>
      <c r="B4" s="543"/>
      <c r="C4" s="543"/>
      <c r="D4" s="543"/>
      <c r="E4" s="543"/>
      <c r="F4" s="543"/>
      <c r="G4" s="543"/>
      <c r="H4" s="543"/>
      <c r="I4" s="543"/>
      <c r="J4" s="543"/>
      <c r="K4" s="543"/>
      <c r="L4" s="543"/>
      <c r="M4" s="543"/>
      <c r="N4" s="543"/>
      <c r="O4" s="543"/>
      <c r="P4" s="543"/>
      <c r="Q4" s="543"/>
      <c r="R4" s="543"/>
      <c r="S4" s="543"/>
      <c r="T4" s="543"/>
      <c r="U4" s="543"/>
      <c r="V4" s="543"/>
      <c r="W4" s="543"/>
      <c r="X4" s="543"/>
      <c r="Y4" s="543"/>
      <c r="Z4" s="543"/>
      <c r="AA4" s="543"/>
      <c r="AB4" s="543"/>
      <c r="AC4" s="543"/>
      <c r="AD4" s="543"/>
      <c r="AE4" s="543"/>
      <c r="AF4" s="543"/>
      <c r="AG4" s="543"/>
      <c r="AH4" s="543"/>
      <c r="AI4" s="543"/>
      <c r="AJ4" s="258"/>
      <c r="AK4" s="258"/>
    </row>
    <row r="5" spans="1:37" s="259" customFormat="1" ht="14.25" customHeight="1" x14ac:dyDescent="0.2">
      <c r="A5" s="393"/>
      <c r="B5" s="393"/>
      <c r="C5" s="393"/>
      <c r="D5" s="393"/>
      <c r="E5" s="393"/>
      <c r="F5" s="393"/>
      <c r="G5" s="393"/>
      <c r="H5" s="393"/>
      <c r="I5" s="393"/>
      <c r="J5" s="393"/>
      <c r="K5" s="393"/>
      <c r="L5" s="393"/>
      <c r="M5" s="393"/>
      <c r="N5" s="393"/>
      <c r="O5" s="394"/>
      <c r="P5" s="394"/>
      <c r="Q5" s="393"/>
      <c r="R5" s="393"/>
      <c r="S5" s="393"/>
      <c r="T5" s="393"/>
      <c r="U5" s="393"/>
      <c r="V5" s="393"/>
      <c r="W5" s="395"/>
      <c r="X5" s="393"/>
      <c r="Y5" s="393"/>
      <c r="Z5" s="393"/>
      <c r="AA5" s="393"/>
      <c r="AB5" s="393"/>
      <c r="AC5" s="393"/>
      <c r="AD5" s="393"/>
      <c r="AE5" s="393"/>
      <c r="AF5" s="393"/>
      <c r="AG5" s="544" t="s">
        <v>428</v>
      </c>
      <c r="AH5" s="544"/>
      <c r="AI5" s="396"/>
      <c r="AJ5" s="258"/>
      <c r="AK5" s="258"/>
    </row>
    <row r="6" spans="1:37" s="284" customFormat="1" ht="35.25" customHeight="1" x14ac:dyDescent="0.15">
      <c r="A6" s="485" t="s">
        <v>429</v>
      </c>
      <c r="B6" s="273" t="s">
        <v>429</v>
      </c>
      <c r="C6" s="274" t="s">
        <v>430</v>
      </c>
      <c r="D6" s="274" t="s">
        <v>431</v>
      </c>
      <c r="E6" s="277" t="s">
        <v>432</v>
      </c>
      <c r="F6" s="274" t="s">
        <v>433</v>
      </c>
      <c r="G6" s="277" t="s">
        <v>434</v>
      </c>
      <c r="H6" s="485" t="s">
        <v>429</v>
      </c>
      <c r="I6" s="486" t="s">
        <v>435</v>
      </c>
      <c r="J6" s="276"/>
      <c r="K6" s="486" t="s">
        <v>436</v>
      </c>
      <c r="L6" s="486" t="s">
        <v>437</v>
      </c>
      <c r="M6" s="486" t="s">
        <v>438</v>
      </c>
      <c r="N6" s="486" t="s">
        <v>433</v>
      </c>
      <c r="O6" s="486" t="s">
        <v>439</v>
      </c>
      <c r="P6" s="488" t="s">
        <v>440</v>
      </c>
      <c r="Q6" s="485" t="s">
        <v>441</v>
      </c>
      <c r="R6" s="489" t="s">
        <v>442</v>
      </c>
      <c r="S6" s="490"/>
      <c r="T6" s="490"/>
      <c r="U6" s="490"/>
      <c r="V6" s="491"/>
      <c r="W6" s="504" t="s">
        <v>443</v>
      </c>
      <c r="X6" s="488" t="s">
        <v>444</v>
      </c>
      <c r="Y6" s="488" t="s">
        <v>445</v>
      </c>
      <c r="Z6" s="488" t="s">
        <v>446</v>
      </c>
      <c r="AA6" s="488" t="s">
        <v>447</v>
      </c>
      <c r="AB6" s="488" t="s">
        <v>448</v>
      </c>
      <c r="AC6" s="489" t="s">
        <v>449</v>
      </c>
      <c r="AD6" s="490"/>
      <c r="AE6" s="490"/>
      <c r="AF6" s="491"/>
      <c r="AG6" s="492" t="s">
        <v>450</v>
      </c>
      <c r="AH6" s="488" t="s">
        <v>451</v>
      </c>
      <c r="AI6" s="488" t="s">
        <v>452</v>
      </c>
      <c r="AJ6" s="283"/>
      <c r="AK6" s="283"/>
    </row>
    <row r="7" spans="1:37" s="291" customFormat="1" ht="100.5" customHeight="1" x14ac:dyDescent="0.2">
      <c r="A7" s="485"/>
      <c r="B7" s="273"/>
      <c r="C7" s="274"/>
      <c r="D7" s="274"/>
      <c r="E7" s="277"/>
      <c r="F7" s="274"/>
      <c r="G7" s="277"/>
      <c r="H7" s="485"/>
      <c r="I7" s="487"/>
      <c r="J7" s="285"/>
      <c r="K7" s="487"/>
      <c r="L7" s="487"/>
      <c r="M7" s="487"/>
      <c r="N7" s="487"/>
      <c r="O7" s="487"/>
      <c r="P7" s="488"/>
      <c r="Q7" s="485"/>
      <c r="R7" s="539"/>
      <c r="S7" s="540"/>
      <c r="T7" s="540"/>
      <c r="U7" s="540"/>
      <c r="V7" s="541"/>
      <c r="W7" s="504"/>
      <c r="X7" s="488"/>
      <c r="Y7" s="488"/>
      <c r="Z7" s="488"/>
      <c r="AA7" s="488"/>
      <c r="AB7" s="488"/>
      <c r="AC7" s="397" t="s">
        <v>453</v>
      </c>
      <c r="AD7" s="398" t="s">
        <v>483</v>
      </c>
      <c r="AE7" s="397" t="s">
        <v>455</v>
      </c>
      <c r="AF7" s="397" t="s">
        <v>456</v>
      </c>
      <c r="AG7" s="493"/>
      <c r="AH7" s="488"/>
      <c r="AI7" s="488"/>
      <c r="AJ7" s="290"/>
      <c r="AK7" s="290"/>
    </row>
    <row r="8" spans="1:37" s="418" customFormat="1" ht="50.25" customHeight="1" x14ac:dyDescent="0.25">
      <c r="A8" s="399">
        <v>1</v>
      </c>
      <c r="B8" s="400"/>
      <c r="C8" s="400"/>
      <c r="D8" s="401"/>
      <c r="E8" s="402"/>
      <c r="F8" s="401"/>
      <c r="G8" s="403"/>
      <c r="H8" s="399">
        <v>11</v>
      </c>
      <c r="I8" s="404" t="s">
        <v>459</v>
      </c>
      <c r="J8" s="405"/>
      <c r="K8" s="405" t="s">
        <v>460</v>
      </c>
      <c r="L8" s="405">
        <v>31</v>
      </c>
      <c r="M8" s="405">
        <v>14</v>
      </c>
      <c r="N8" s="405" t="s">
        <v>242</v>
      </c>
      <c r="O8" s="406">
        <v>241.3</v>
      </c>
      <c r="P8" s="407">
        <f>10700000*0.7</f>
        <v>7489999.9999999991</v>
      </c>
      <c r="Q8" s="301">
        <f>ROUND(O8*P8,-3)</f>
        <v>1807337000</v>
      </c>
      <c r="R8" s="408"/>
      <c r="S8" s="408"/>
      <c r="T8" s="408"/>
      <c r="U8" s="408"/>
      <c r="V8" s="408"/>
      <c r="W8" s="408"/>
      <c r="X8" s="408">
        <v>11194000</v>
      </c>
      <c r="Y8" s="408">
        <v>895620000</v>
      </c>
      <c r="Z8" s="408">
        <v>15000000</v>
      </c>
      <c r="AA8" s="408"/>
      <c r="AB8" s="408">
        <v>54000000</v>
      </c>
      <c r="AC8" s="409"/>
      <c r="AD8" s="410"/>
      <c r="AE8" s="409"/>
      <c r="AF8" s="408"/>
      <c r="AG8" s="411">
        <v>30000000</v>
      </c>
      <c r="AH8" s="333">
        <f>Q8+R8+W8+X8+Y8+Z8+AA8+AB8+AF8+AG8</f>
        <v>2813151000</v>
      </c>
      <c r="AI8" s="412" t="s">
        <v>461</v>
      </c>
    </row>
    <row r="9" spans="1:37" s="327" customFormat="1" ht="26.45" customHeight="1" x14ac:dyDescent="0.2">
      <c r="A9" s="494">
        <v>2</v>
      </c>
      <c r="B9" s="315"/>
      <c r="C9" s="316"/>
      <c r="D9" s="316"/>
      <c r="E9" s="317"/>
      <c r="F9" s="316"/>
      <c r="G9" s="318"/>
      <c r="H9" s="316">
        <v>2</v>
      </c>
      <c r="I9" s="496" t="s">
        <v>462</v>
      </c>
      <c r="J9" s="319" t="s">
        <v>463</v>
      </c>
      <c r="K9" s="527" t="s">
        <v>460</v>
      </c>
      <c r="L9" s="405">
        <v>26</v>
      </c>
      <c r="M9" s="527">
        <v>14</v>
      </c>
      <c r="N9" s="320" t="s">
        <v>242</v>
      </c>
      <c r="O9" s="321">
        <v>15.3</v>
      </c>
      <c r="P9" s="301">
        <v>2400000</v>
      </c>
      <c r="Q9" s="301">
        <f>ROUND(O9*P9,-3)</f>
        <v>36720000</v>
      </c>
      <c r="R9" s="408"/>
      <c r="S9" s="301"/>
      <c r="T9" s="301"/>
      <c r="U9" s="301"/>
      <c r="V9" s="301"/>
      <c r="W9" s="408"/>
      <c r="X9" s="301">
        <v>770000</v>
      </c>
      <c r="Y9" s="301">
        <v>64475000</v>
      </c>
      <c r="Z9" s="408"/>
      <c r="AA9" s="408"/>
      <c r="AB9" s="408"/>
      <c r="AC9" s="409"/>
      <c r="AD9" s="410"/>
      <c r="AE9" s="409"/>
      <c r="AF9" s="301"/>
      <c r="AG9" s="333">
        <f>500000*O9</f>
        <v>7650000</v>
      </c>
      <c r="AH9" s="500">
        <f>Q9+Q10+R10+W10+X9+Y9+AF10+AG9+AG10</f>
        <v>207565000</v>
      </c>
      <c r="AI9" s="502"/>
      <c r="AJ9" s="326"/>
      <c r="AK9" s="326"/>
    </row>
    <row r="10" spans="1:37" s="327" customFormat="1" ht="26.45" customHeight="1" x14ac:dyDescent="0.2">
      <c r="A10" s="495"/>
      <c r="B10" s="315"/>
      <c r="C10" s="316"/>
      <c r="D10" s="316"/>
      <c r="E10" s="317"/>
      <c r="F10" s="316"/>
      <c r="G10" s="318"/>
      <c r="H10" s="316"/>
      <c r="I10" s="497"/>
      <c r="J10" s="319"/>
      <c r="K10" s="528"/>
      <c r="L10" s="405">
        <v>25</v>
      </c>
      <c r="M10" s="528"/>
      <c r="N10" s="320" t="s">
        <v>60</v>
      </c>
      <c r="O10" s="321">
        <v>53.5</v>
      </c>
      <c r="P10" s="301">
        <v>85000</v>
      </c>
      <c r="Q10" s="301">
        <f>ROUND(O10*P10*1.5,-3)</f>
        <v>6821000</v>
      </c>
      <c r="R10" s="408">
        <f>ROUND(O10*255000,-3)</f>
        <v>13643000</v>
      </c>
      <c r="S10" s="301"/>
      <c r="T10" s="301"/>
      <c r="U10" s="301"/>
      <c r="V10" s="301"/>
      <c r="W10" s="408">
        <f>ROUND(O10*1323000,-3)</f>
        <v>70781000</v>
      </c>
      <c r="X10" s="301"/>
      <c r="Y10" s="301"/>
      <c r="Z10" s="408"/>
      <c r="AA10" s="408"/>
      <c r="AB10" s="408"/>
      <c r="AC10" s="409">
        <v>5</v>
      </c>
      <c r="AD10" s="410">
        <v>1.58</v>
      </c>
      <c r="AE10" s="409">
        <v>2</v>
      </c>
      <c r="AF10" s="301">
        <f>5*30*17000*2</f>
        <v>5100000</v>
      </c>
      <c r="AG10" s="333">
        <f>O10*30000</f>
        <v>1605000</v>
      </c>
      <c r="AH10" s="501"/>
      <c r="AI10" s="503"/>
      <c r="AJ10" s="326"/>
      <c r="AK10" s="326"/>
    </row>
    <row r="11" spans="1:37" s="418" customFormat="1" ht="27" customHeight="1" x14ac:dyDescent="0.25">
      <c r="A11" s="524">
        <v>3</v>
      </c>
      <c r="B11" s="400">
        <v>147</v>
      </c>
      <c r="C11" s="400">
        <v>21</v>
      </c>
      <c r="D11" s="401">
        <v>160</v>
      </c>
      <c r="E11" s="402">
        <v>621.1</v>
      </c>
      <c r="F11" s="401" t="s">
        <v>464</v>
      </c>
      <c r="G11" s="403"/>
      <c r="H11" s="524">
        <v>3</v>
      </c>
      <c r="I11" s="525" t="s">
        <v>465</v>
      </c>
      <c r="J11" s="405" t="s">
        <v>466</v>
      </c>
      <c r="K11" s="527" t="s">
        <v>460</v>
      </c>
      <c r="L11" s="405">
        <v>23</v>
      </c>
      <c r="M11" s="527">
        <v>14</v>
      </c>
      <c r="N11" s="405" t="s">
        <v>240</v>
      </c>
      <c r="O11" s="406">
        <v>212.1</v>
      </c>
      <c r="P11" s="407">
        <v>75000</v>
      </c>
      <c r="Q11" s="301">
        <f t="shared" ref="Q11:Q19" si="0">ROUND(O11*P11,-3)</f>
        <v>15908000</v>
      </c>
      <c r="R11" s="408">
        <f>ROUND(O11*225000,-3)</f>
        <v>47723000</v>
      </c>
      <c r="S11" s="408"/>
      <c r="T11" s="408"/>
      <c r="U11" s="408"/>
      <c r="V11" s="408"/>
      <c r="W11" s="408"/>
      <c r="X11" s="408">
        <v>810000</v>
      </c>
      <c r="Y11" s="408">
        <v>75042000</v>
      </c>
      <c r="Z11" s="408"/>
      <c r="AA11" s="408"/>
      <c r="AB11" s="408"/>
      <c r="AC11" s="533">
        <v>3</v>
      </c>
      <c r="AD11" s="531">
        <v>25.57</v>
      </c>
      <c r="AE11" s="533">
        <v>5</v>
      </c>
      <c r="AF11" s="535">
        <f>3*30*17000*5</f>
        <v>7650000</v>
      </c>
      <c r="AG11" s="333">
        <f t="shared" ref="AG11:AG13" si="1">O11*30000</f>
        <v>6363000</v>
      </c>
      <c r="AH11" s="515">
        <f>Q11+Q12+R11+R12+W12+X11+Y11+AF11+AG11+AG12</f>
        <v>198967000</v>
      </c>
      <c r="AI11" s="529" t="s">
        <v>467</v>
      </c>
    </row>
    <row r="12" spans="1:37" s="418" customFormat="1" ht="26.25" customHeight="1" x14ac:dyDescent="0.25">
      <c r="A12" s="524"/>
      <c r="B12" s="400"/>
      <c r="C12" s="400"/>
      <c r="D12" s="401"/>
      <c r="E12" s="402"/>
      <c r="F12" s="401"/>
      <c r="G12" s="403"/>
      <c r="H12" s="524"/>
      <c r="I12" s="526"/>
      <c r="J12" s="405"/>
      <c r="K12" s="528"/>
      <c r="L12" s="405">
        <v>22</v>
      </c>
      <c r="M12" s="528"/>
      <c r="N12" s="405" t="s">
        <v>60</v>
      </c>
      <c r="O12" s="406">
        <v>26.2</v>
      </c>
      <c r="P12" s="407">
        <v>85000</v>
      </c>
      <c r="Q12" s="301">
        <f>ROUND(O12*P12*1.5,-3)</f>
        <v>3341000</v>
      </c>
      <c r="R12" s="408">
        <f>ROUND(O12*255000,-3)</f>
        <v>6681000</v>
      </c>
      <c r="S12" s="408"/>
      <c r="T12" s="408"/>
      <c r="U12" s="408"/>
      <c r="V12" s="408"/>
      <c r="W12" s="408">
        <f>ROUND(O12*1323000,-3)</f>
        <v>34663000</v>
      </c>
      <c r="X12" s="408"/>
      <c r="Y12" s="408"/>
      <c r="Z12" s="408"/>
      <c r="AA12" s="408"/>
      <c r="AC12" s="534"/>
      <c r="AD12" s="532"/>
      <c r="AE12" s="534"/>
      <c r="AF12" s="536"/>
      <c r="AG12" s="333">
        <f t="shared" si="1"/>
        <v>786000</v>
      </c>
      <c r="AH12" s="515"/>
      <c r="AI12" s="537"/>
    </row>
    <row r="13" spans="1:37" s="418" customFormat="1" ht="35.1" customHeight="1" x14ac:dyDescent="0.25">
      <c r="A13" s="399">
        <v>4</v>
      </c>
      <c r="B13" s="400"/>
      <c r="C13" s="400"/>
      <c r="D13" s="401"/>
      <c r="E13" s="402"/>
      <c r="F13" s="401"/>
      <c r="G13" s="403"/>
      <c r="H13" s="399">
        <v>5</v>
      </c>
      <c r="I13" s="404" t="s">
        <v>468</v>
      </c>
      <c r="J13" s="405" t="s">
        <v>466</v>
      </c>
      <c r="K13" s="405" t="s">
        <v>460</v>
      </c>
      <c r="L13" s="405">
        <v>19</v>
      </c>
      <c r="M13" s="420">
        <v>14</v>
      </c>
      <c r="N13" s="421" t="s">
        <v>240</v>
      </c>
      <c r="O13" s="406">
        <v>119.6</v>
      </c>
      <c r="P13" s="407">
        <v>75000</v>
      </c>
      <c r="Q13" s="301">
        <f t="shared" si="0"/>
        <v>8970000</v>
      </c>
      <c r="R13" s="408">
        <f>ROUND(O13*225000,-3)</f>
        <v>26910000</v>
      </c>
      <c r="S13" s="408"/>
      <c r="T13" s="408"/>
      <c r="U13" s="408"/>
      <c r="V13" s="408"/>
      <c r="W13" s="408"/>
      <c r="X13" s="408">
        <v>7200000</v>
      </c>
      <c r="Y13" s="408">
        <v>23709000</v>
      </c>
      <c r="Z13" s="408"/>
      <c r="AA13" s="408"/>
      <c r="AB13" s="408"/>
      <c r="AC13" s="409">
        <v>4</v>
      </c>
      <c r="AD13" s="410">
        <v>14.82</v>
      </c>
      <c r="AE13" s="409">
        <v>3</v>
      </c>
      <c r="AF13" s="408">
        <f>4*30*17000*3</f>
        <v>6120000</v>
      </c>
      <c r="AG13" s="333">
        <f t="shared" si="1"/>
        <v>3588000</v>
      </c>
      <c r="AH13" s="333">
        <f>Q13+R13+W13+X13+Y13+Z13+AA13+AB13+AF13+AG13</f>
        <v>76497000</v>
      </c>
      <c r="AI13" s="412"/>
    </row>
    <row r="14" spans="1:37" s="327" customFormat="1" ht="35.1" customHeight="1" x14ac:dyDescent="0.2">
      <c r="A14" s="341">
        <v>5</v>
      </c>
      <c r="B14" s="315"/>
      <c r="C14" s="316"/>
      <c r="D14" s="316"/>
      <c r="E14" s="317"/>
      <c r="F14" s="316"/>
      <c r="G14" s="318"/>
      <c r="H14" s="316">
        <v>2</v>
      </c>
      <c r="I14" s="342" t="s">
        <v>469</v>
      </c>
      <c r="J14" s="319" t="s">
        <v>463</v>
      </c>
      <c r="K14" s="405" t="s">
        <v>460</v>
      </c>
      <c r="L14" s="405">
        <v>18</v>
      </c>
      <c r="M14" s="405">
        <v>14</v>
      </c>
      <c r="N14" s="320" t="s">
        <v>242</v>
      </c>
      <c r="O14" s="321">
        <f>143.9</f>
        <v>143.9</v>
      </c>
      <c r="P14" s="301">
        <v>2400000</v>
      </c>
      <c r="Q14" s="301">
        <f t="shared" si="0"/>
        <v>345360000</v>
      </c>
      <c r="R14" s="408"/>
      <c r="S14" s="301"/>
      <c r="T14" s="301"/>
      <c r="U14" s="301"/>
      <c r="V14" s="301"/>
      <c r="W14" s="408"/>
      <c r="X14" s="301">
        <v>5627000</v>
      </c>
      <c r="Y14" s="301">
        <v>114420000</v>
      </c>
      <c r="Z14" s="408"/>
      <c r="AA14" s="408"/>
      <c r="AB14" s="408"/>
      <c r="AC14" s="409"/>
      <c r="AD14" s="410"/>
      <c r="AE14" s="409"/>
      <c r="AF14" s="301"/>
      <c r="AG14" s="333">
        <v>30000000</v>
      </c>
      <c r="AH14" s="333">
        <f t="shared" ref="AH14:AH15" si="2">Q14+R14+W14+X14+Y14+Z14+AA14+AB14+AF14+AG14</f>
        <v>495407000</v>
      </c>
      <c r="AI14" s="344"/>
      <c r="AJ14" s="326"/>
      <c r="AK14" s="326"/>
    </row>
    <row r="15" spans="1:37" s="418" customFormat="1" ht="56.25" x14ac:dyDescent="0.25">
      <c r="A15" s="399">
        <v>6</v>
      </c>
      <c r="B15" s="400"/>
      <c r="C15" s="400"/>
      <c r="D15" s="401"/>
      <c r="E15" s="402"/>
      <c r="F15" s="401"/>
      <c r="G15" s="403"/>
      <c r="H15" s="399">
        <v>5</v>
      </c>
      <c r="I15" s="404" t="s">
        <v>470</v>
      </c>
      <c r="J15" s="405" t="s">
        <v>466</v>
      </c>
      <c r="K15" s="405" t="s">
        <v>460</v>
      </c>
      <c r="L15" s="405">
        <v>24</v>
      </c>
      <c r="M15" s="420">
        <v>14</v>
      </c>
      <c r="N15" s="421" t="s">
        <v>240</v>
      </c>
      <c r="O15" s="406">
        <v>145.6</v>
      </c>
      <c r="P15" s="407">
        <v>75000</v>
      </c>
      <c r="Q15" s="301">
        <f t="shared" si="0"/>
        <v>10920000</v>
      </c>
      <c r="R15" s="408">
        <f>ROUND(O15*225000,-3)</f>
        <v>32760000</v>
      </c>
      <c r="S15" s="408"/>
      <c r="T15" s="408"/>
      <c r="U15" s="408"/>
      <c r="V15" s="408"/>
      <c r="W15" s="408"/>
      <c r="X15" s="423"/>
      <c r="Y15" s="408">
        <v>1840000</v>
      </c>
      <c r="Z15" s="408"/>
      <c r="AA15" s="408"/>
      <c r="AB15" s="408"/>
      <c r="AC15" s="409">
        <v>5</v>
      </c>
      <c r="AD15" s="410">
        <v>10.46</v>
      </c>
      <c r="AE15" s="409">
        <v>3</v>
      </c>
      <c r="AF15" s="408">
        <f>30*17000*5*3</f>
        <v>7650000</v>
      </c>
      <c r="AG15" s="411">
        <f>O15*30000</f>
        <v>4368000</v>
      </c>
      <c r="AH15" s="333">
        <f t="shared" si="2"/>
        <v>57538000</v>
      </c>
      <c r="AI15" s="412" t="s">
        <v>471</v>
      </c>
    </row>
    <row r="16" spans="1:37" s="418" customFormat="1" ht="23.1" customHeight="1" x14ac:dyDescent="0.25">
      <c r="A16" s="524">
        <v>7</v>
      </c>
      <c r="B16" s="400">
        <v>147</v>
      </c>
      <c r="C16" s="400">
        <v>21</v>
      </c>
      <c r="D16" s="401">
        <v>160</v>
      </c>
      <c r="E16" s="402">
        <v>621.1</v>
      </c>
      <c r="F16" s="401" t="s">
        <v>464</v>
      </c>
      <c r="G16" s="403"/>
      <c r="H16" s="524">
        <v>3</v>
      </c>
      <c r="I16" s="525" t="s">
        <v>472</v>
      </c>
      <c r="J16" s="405" t="s">
        <v>466</v>
      </c>
      <c r="K16" s="527" t="s">
        <v>460</v>
      </c>
      <c r="L16" s="405">
        <v>13</v>
      </c>
      <c r="M16" s="527">
        <v>14</v>
      </c>
      <c r="N16" s="405" t="s">
        <v>240</v>
      </c>
      <c r="O16" s="406">
        <v>29.7</v>
      </c>
      <c r="P16" s="424">
        <v>75000</v>
      </c>
      <c r="Q16" s="333">
        <f t="shared" si="0"/>
        <v>2228000</v>
      </c>
      <c r="R16" s="411">
        <f>ROUND(O16*225000,-3)</f>
        <v>6683000</v>
      </c>
      <c r="S16" s="411"/>
      <c r="T16" s="411"/>
      <c r="U16" s="411"/>
      <c r="V16" s="411"/>
      <c r="W16" s="411"/>
      <c r="X16" s="411">
        <v>6003000</v>
      </c>
      <c r="Y16" s="411">
        <v>32037000</v>
      </c>
      <c r="Z16" s="411"/>
      <c r="AA16" s="411"/>
      <c r="AB16" s="411"/>
      <c r="AC16" s="425"/>
      <c r="AD16" s="426"/>
      <c r="AE16" s="425"/>
      <c r="AF16" s="408"/>
      <c r="AG16" s="411">
        <f>O16*30000</f>
        <v>891000</v>
      </c>
      <c r="AH16" s="515">
        <f>Q16+Q17+R16+X16+Y16+AF16+AG16+AG17</f>
        <v>414322000</v>
      </c>
      <c r="AI16" s="522" t="s">
        <v>473</v>
      </c>
    </row>
    <row r="17" spans="1:35" s="418" customFormat="1" ht="23.1" customHeight="1" x14ac:dyDescent="0.25">
      <c r="A17" s="524"/>
      <c r="B17" s="400"/>
      <c r="C17" s="400"/>
      <c r="D17" s="401"/>
      <c r="E17" s="402"/>
      <c r="F17" s="401"/>
      <c r="G17" s="403"/>
      <c r="H17" s="524"/>
      <c r="I17" s="526"/>
      <c r="J17" s="405"/>
      <c r="K17" s="528"/>
      <c r="L17" s="405">
        <v>14</v>
      </c>
      <c r="M17" s="528"/>
      <c r="N17" s="405" t="s">
        <v>242</v>
      </c>
      <c r="O17" s="406">
        <v>140.19999999999999</v>
      </c>
      <c r="P17" s="424">
        <v>2400000</v>
      </c>
      <c r="Q17" s="333">
        <f t="shared" si="0"/>
        <v>336480000</v>
      </c>
      <c r="R17" s="411"/>
      <c r="S17" s="411"/>
      <c r="T17" s="411"/>
      <c r="U17" s="411"/>
      <c r="V17" s="411"/>
      <c r="W17" s="411"/>
      <c r="X17" s="411"/>
      <c r="Y17" s="411"/>
      <c r="Z17" s="411"/>
      <c r="AA17" s="411"/>
      <c r="AB17" s="411"/>
      <c r="AC17" s="425"/>
      <c r="AD17" s="426"/>
      <c r="AE17" s="425"/>
      <c r="AF17" s="408"/>
      <c r="AG17" s="411">
        <v>30000000</v>
      </c>
      <c r="AH17" s="515"/>
      <c r="AI17" s="523"/>
    </row>
    <row r="18" spans="1:35" s="418" customFormat="1" ht="26.1" customHeight="1" x14ac:dyDescent="0.25">
      <c r="A18" s="524">
        <v>8</v>
      </c>
      <c r="B18" s="400">
        <v>147</v>
      </c>
      <c r="C18" s="400">
        <v>21</v>
      </c>
      <c r="D18" s="401">
        <v>160</v>
      </c>
      <c r="E18" s="402">
        <v>621.1</v>
      </c>
      <c r="F18" s="401" t="s">
        <v>464</v>
      </c>
      <c r="G18" s="403"/>
      <c r="H18" s="524">
        <v>3</v>
      </c>
      <c r="I18" s="525" t="s">
        <v>474</v>
      </c>
      <c r="J18" s="405" t="s">
        <v>466</v>
      </c>
      <c r="K18" s="527" t="s">
        <v>460</v>
      </c>
      <c r="L18" s="405">
        <v>11</v>
      </c>
      <c r="M18" s="527">
        <v>14</v>
      </c>
      <c r="N18" s="405" t="s">
        <v>240</v>
      </c>
      <c r="O18" s="406">
        <v>119.7</v>
      </c>
      <c r="P18" s="424">
        <v>75000</v>
      </c>
      <c r="Q18" s="333">
        <f t="shared" si="0"/>
        <v>8978000</v>
      </c>
      <c r="R18" s="411">
        <f>ROUND(O18*225000,-3)</f>
        <v>26933000</v>
      </c>
      <c r="S18" s="411"/>
      <c r="T18" s="411"/>
      <c r="U18" s="411"/>
      <c r="V18" s="411"/>
      <c r="W18" s="411"/>
      <c r="X18" s="411">
        <v>6568000</v>
      </c>
      <c r="Y18" s="411">
        <v>146677000</v>
      </c>
      <c r="Z18" s="411"/>
      <c r="AA18" s="411"/>
      <c r="AB18" s="411"/>
      <c r="AC18" s="425">
        <v>8</v>
      </c>
      <c r="AD18" s="426">
        <v>3.44</v>
      </c>
      <c r="AE18" s="425">
        <v>2</v>
      </c>
      <c r="AF18" s="408">
        <f>30*17000*8*2</f>
        <v>8160000</v>
      </c>
      <c r="AG18" s="411">
        <f>O18*30000</f>
        <v>3591000</v>
      </c>
      <c r="AH18" s="515">
        <f>Q18+Q19+R18+X18+Y18+AF18+AG18+AG19</f>
        <v>470487000</v>
      </c>
      <c r="AI18" s="529" t="s">
        <v>475</v>
      </c>
    </row>
    <row r="19" spans="1:35" s="418" customFormat="1" ht="26.1" customHeight="1" x14ac:dyDescent="0.25">
      <c r="A19" s="524"/>
      <c r="B19" s="400"/>
      <c r="C19" s="400"/>
      <c r="D19" s="401"/>
      <c r="E19" s="402"/>
      <c r="F19" s="401"/>
      <c r="G19" s="403"/>
      <c r="H19" s="524"/>
      <c r="I19" s="526"/>
      <c r="J19" s="405"/>
      <c r="K19" s="528"/>
      <c r="L19" s="405">
        <v>12</v>
      </c>
      <c r="M19" s="528"/>
      <c r="N19" s="405" t="s">
        <v>242</v>
      </c>
      <c r="O19" s="406">
        <v>133.1</v>
      </c>
      <c r="P19" s="424">
        <v>1800000</v>
      </c>
      <c r="Q19" s="333">
        <f t="shared" si="0"/>
        <v>239580000</v>
      </c>
      <c r="R19" s="411"/>
      <c r="S19" s="411"/>
      <c r="T19" s="411"/>
      <c r="U19" s="411"/>
      <c r="V19" s="411"/>
      <c r="W19" s="411"/>
      <c r="X19" s="411"/>
      <c r="Y19" s="411"/>
      <c r="Z19" s="411"/>
      <c r="AA19" s="411"/>
      <c r="AB19" s="411"/>
      <c r="AC19" s="425"/>
      <c r="AD19" s="426"/>
      <c r="AE19" s="425"/>
      <c r="AF19" s="408"/>
      <c r="AG19" s="411">
        <v>30000000</v>
      </c>
      <c r="AH19" s="515"/>
      <c r="AI19" s="530"/>
    </row>
    <row r="20" spans="1:35" s="418" customFormat="1" ht="29.25" customHeight="1" x14ac:dyDescent="0.25">
      <c r="A20" s="399">
        <v>9</v>
      </c>
      <c r="B20" s="400"/>
      <c r="C20" s="400"/>
      <c r="D20" s="401"/>
      <c r="E20" s="402"/>
      <c r="F20" s="401"/>
      <c r="G20" s="403"/>
      <c r="H20" s="399"/>
      <c r="I20" s="427" t="s">
        <v>476</v>
      </c>
      <c r="J20" s="401"/>
      <c r="K20" s="401"/>
      <c r="L20" s="401">
        <v>2</v>
      </c>
      <c r="M20" s="401">
        <v>26</v>
      </c>
      <c r="N20" s="401" t="s">
        <v>477</v>
      </c>
      <c r="O20" s="402"/>
      <c r="P20" s="424"/>
      <c r="Q20" s="333"/>
      <c r="R20" s="411"/>
      <c r="S20" s="411"/>
      <c r="T20" s="411"/>
      <c r="U20" s="411"/>
      <c r="V20" s="411"/>
      <c r="W20" s="411"/>
      <c r="X20" s="411"/>
      <c r="Y20" s="411"/>
      <c r="Z20" s="411"/>
      <c r="AA20" s="411">
        <v>20000000</v>
      </c>
      <c r="AB20" s="411"/>
      <c r="AC20" s="425"/>
      <c r="AD20" s="426"/>
      <c r="AE20" s="425"/>
      <c r="AF20" s="408"/>
      <c r="AG20" s="411"/>
      <c r="AH20" s="333">
        <v>20000000</v>
      </c>
      <c r="AI20" s="412" t="s">
        <v>421</v>
      </c>
    </row>
    <row r="21" spans="1:35" s="366" customFormat="1" ht="29.25" customHeight="1" x14ac:dyDescent="0.2">
      <c r="A21" s="354"/>
      <c r="B21" s="355"/>
      <c r="C21" s="354"/>
      <c r="D21" s="355"/>
      <c r="E21" s="356"/>
      <c r="F21" s="355"/>
      <c r="G21" s="357">
        <f>SUM(G9:G19)</f>
        <v>0</v>
      </c>
      <c r="H21" s="357"/>
      <c r="I21" s="358" t="s">
        <v>254</v>
      </c>
      <c r="J21" s="357">
        <f>SUM(J9:J19)</f>
        <v>0</v>
      </c>
      <c r="K21" s="357"/>
      <c r="L21" s="358"/>
      <c r="M21" s="358"/>
      <c r="N21" s="358"/>
      <c r="O21" s="357">
        <f>SUM(O8:O19)</f>
        <v>1380.2</v>
      </c>
      <c r="P21" s="357"/>
      <c r="Q21" s="359">
        <f>SUM(Q8:Q19)</f>
        <v>2822643000</v>
      </c>
      <c r="R21" s="359">
        <f t="shared" ref="R21:Y21" si="3">SUM(R8:R19)</f>
        <v>161333000</v>
      </c>
      <c r="S21" s="359">
        <f t="shared" si="3"/>
        <v>0</v>
      </c>
      <c r="T21" s="359">
        <f t="shared" si="3"/>
        <v>0</v>
      </c>
      <c r="U21" s="359">
        <f t="shared" si="3"/>
        <v>0</v>
      </c>
      <c r="V21" s="359">
        <f t="shared" si="3"/>
        <v>0</v>
      </c>
      <c r="W21" s="359">
        <f t="shared" si="3"/>
        <v>105444000</v>
      </c>
      <c r="X21" s="359">
        <f t="shared" si="3"/>
        <v>38172000</v>
      </c>
      <c r="Y21" s="359">
        <f t="shared" si="3"/>
        <v>1353820000</v>
      </c>
      <c r="Z21" s="359">
        <f>SUM(Z8:Z19)</f>
        <v>15000000</v>
      </c>
      <c r="AA21" s="359">
        <f>SUM(AA9:AA20)</f>
        <v>20000000</v>
      </c>
      <c r="AB21" s="359">
        <f>SUM(AB8:AB19)</f>
        <v>54000000</v>
      </c>
      <c r="AC21" s="360"/>
      <c r="AD21" s="359"/>
      <c r="AE21" s="360"/>
      <c r="AF21" s="361">
        <f>SUM(AF9:AF20)</f>
        <v>34680000</v>
      </c>
      <c r="AG21" s="359">
        <f>SUM(AG8:AG20)</f>
        <v>148842000</v>
      </c>
      <c r="AH21" s="359">
        <f>SUM(AH8:AH20)</f>
        <v>4753934000</v>
      </c>
      <c r="AI21" s="359"/>
    </row>
    <row r="22" spans="1:35" s="366" customFormat="1" ht="29.25" customHeight="1" x14ac:dyDescent="0.2">
      <c r="A22" s="518" t="s">
        <v>481</v>
      </c>
      <c r="B22" s="518"/>
      <c r="C22" s="518"/>
      <c r="D22" s="518"/>
      <c r="E22" s="518"/>
      <c r="F22" s="518"/>
      <c r="G22" s="518"/>
      <c r="H22" s="518"/>
      <c r="I22" s="518"/>
      <c r="J22" s="357"/>
      <c r="K22" s="357"/>
      <c r="L22" s="358"/>
      <c r="M22" s="358"/>
      <c r="N22" s="358"/>
      <c r="O22" s="357"/>
      <c r="P22" s="357"/>
      <c r="Q22" s="359"/>
      <c r="R22" s="359"/>
      <c r="S22" s="359"/>
      <c r="T22" s="359"/>
      <c r="U22" s="359"/>
      <c r="V22" s="359"/>
      <c r="W22" s="359"/>
      <c r="X22" s="359"/>
      <c r="Y22" s="359"/>
      <c r="Z22" s="359"/>
      <c r="AA22" s="359"/>
      <c r="AB22" s="359"/>
      <c r="AC22" s="360"/>
      <c r="AD22" s="359"/>
      <c r="AE22" s="360"/>
      <c r="AF22" s="361"/>
      <c r="AG22" s="359"/>
      <c r="AH22" s="359">
        <v>93499000</v>
      </c>
      <c r="AI22" s="359"/>
    </row>
    <row r="23" spans="1:35" s="374" customFormat="1" ht="20.25" customHeight="1" x14ac:dyDescent="0.2">
      <c r="A23" s="518" t="s">
        <v>254</v>
      </c>
      <c r="B23" s="518"/>
      <c r="C23" s="518"/>
      <c r="D23" s="518"/>
      <c r="E23" s="518"/>
      <c r="F23" s="518"/>
      <c r="G23" s="518"/>
      <c r="H23" s="518"/>
      <c r="I23" s="518"/>
      <c r="J23" s="367"/>
      <c r="K23" s="367"/>
      <c r="L23" s="367"/>
      <c r="M23" s="367"/>
      <c r="N23" s="367"/>
      <c r="O23" s="368"/>
      <c r="P23" s="368"/>
      <c r="Q23" s="368"/>
      <c r="R23" s="367"/>
      <c r="S23" s="367"/>
      <c r="T23" s="367"/>
      <c r="U23" s="367"/>
      <c r="V23" s="367"/>
      <c r="W23" s="367"/>
      <c r="X23" s="367"/>
      <c r="Y23" s="367"/>
      <c r="Z23" s="367"/>
      <c r="AA23" s="367"/>
      <c r="AB23" s="367"/>
      <c r="AC23" s="367"/>
      <c r="AD23" s="367"/>
      <c r="AE23" s="367"/>
      <c r="AF23" s="367"/>
      <c r="AG23" s="367"/>
      <c r="AH23" s="359">
        <f>AH21+AH22</f>
        <v>4847433000</v>
      </c>
      <c r="AI23" s="367"/>
    </row>
    <row r="24" spans="1:35" ht="20.25" customHeight="1" x14ac:dyDescent="0.2">
      <c r="Q24" s="381">
        <f>Q8+Q19+Q17+Q14+Q9</f>
        <v>2765477000</v>
      </c>
      <c r="AH24" s="382"/>
    </row>
  </sheetData>
  <autoFilter ref="A6:AK21">
    <filterColumn colId="9" showButton="0"/>
    <filterColumn colId="10" hiddenButton="1" showButton="0"/>
    <filterColumn colId="13" showButton="0"/>
  </autoFilter>
  <mergeCells count="59">
    <mergeCell ref="R6:V7"/>
    <mergeCell ref="A1:AI1"/>
    <mergeCell ref="A2:AI2"/>
    <mergeCell ref="A3:AI3"/>
    <mergeCell ref="A4:AI4"/>
    <mergeCell ref="AG5:AH5"/>
    <mergeCell ref="A6:A7"/>
    <mergeCell ref="H6:H7"/>
    <mergeCell ref="I6:I7"/>
    <mergeCell ref="K6:K7"/>
    <mergeCell ref="L6:L7"/>
    <mergeCell ref="M6:M7"/>
    <mergeCell ref="N6:N7"/>
    <mergeCell ref="O6:O7"/>
    <mergeCell ref="P6:P7"/>
    <mergeCell ref="Q6:Q7"/>
    <mergeCell ref="AC6:AF6"/>
    <mergeCell ref="AG6:AG7"/>
    <mergeCell ref="AH6:AH7"/>
    <mergeCell ref="AI6:AI7"/>
    <mergeCell ref="A9:A10"/>
    <mergeCell ref="I9:I10"/>
    <mergeCell ref="K9:K10"/>
    <mergeCell ref="M9:M10"/>
    <mergeCell ref="AH9:AH10"/>
    <mergeCell ref="AI9:AI10"/>
    <mergeCell ref="W6:W7"/>
    <mergeCell ref="X6:X7"/>
    <mergeCell ref="Y6:Y7"/>
    <mergeCell ref="Z6:Z7"/>
    <mergeCell ref="AA6:AA7"/>
    <mergeCell ref="AB6:AB7"/>
    <mergeCell ref="A11:A12"/>
    <mergeCell ref="H11:H12"/>
    <mergeCell ref="I11:I12"/>
    <mergeCell ref="K11:K12"/>
    <mergeCell ref="M11:M12"/>
    <mergeCell ref="AC11:AC12"/>
    <mergeCell ref="AD11:AD12"/>
    <mergeCell ref="AE11:AE12"/>
    <mergeCell ref="AF11:AF12"/>
    <mergeCell ref="AH11:AH12"/>
    <mergeCell ref="AI11:AI12"/>
    <mergeCell ref="A22:I22"/>
    <mergeCell ref="A23:I23"/>
    <mergeCell ref="AI16:AI17"/>
    <mergeCell ref="A18:A19"/>
    <mergeCell ref="H18:H19"/>
    <mergeCell ref="I18:I19"/>
    <mergeCell ref="K18:K19"/>
    <mergeCell ref="M18:M19"/>
    <mergeCell ref="AH18:AH19"/>
    <mergeCell ref="AI18:AI19"/>
    <mergeCell ref="A16:A17"/>
    <mergeCell ref="H16:H17"/>
    <mergeCell ref="I16:I17"/>
    <mergeCell ref="K16:K17"/>
    <mergeCell ref="M16:M17"/>
    <mergeCell ref="AH16:AH17"/>
  </mergeCells>
  <pageMargins left="0.36" right="0" top="0.19685039370078741" bottom="0.35433070866141736" header="0.19685039370078741" footer="0.19685039370078741"/>
  <pageSetup paperSize="9" scale="80" orientation="landscape" verticalDpi="0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Ap gia chi tiet</vt:lpstr>
      <vt:lpstr>Ap gia tong-Trung tâm lập</vt:lpstr>
      <vt:lpstr>QĐ PD PA</vt:lpstr>
      <vt:lpstr>TT kèm theo QĐ</vt:lpstr>
      <vt:lpstr>'Ap gia chi tiet'!Print_Titles</vt:lpstr>
      <vt:lpstr>'Ap gia tong-Trung tâm lập'!Print_Titles</vt:lpstr>
      <vt:lpstr>'QĐ PD PA'!Print_Titles</vt:lpstr>
      <vt:lpstr>'TT kèm theo QĐ'!Print_Titles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Nuc</cp:lastModifiedBy>
  <cp:lastPrinted>2026-10-16T01:32:14Z</cp:lastPrinted>
  <dcterms:created xsi:type="dcterms:W3CDTF">2015-06-05T18:17:20Z</dcterms:created>
  <dcterms:modified xsi:type="dcterms:W3CDTF">2026-10-16T01:32:18Z</dcterms:modified>
</cp:coreProperties>
</file>